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D0180A4E-3EB4-454A-A1AD-93E1C068506B}" xr6:coauthVersionLast="47" xr6:coauthVersionMax="47" xr10:uidLastSave="{00000000-0000-0000-0000-000000000000}"/>
  <bookViews>
    <workbookView xWindow="-120" yWindow="-120" windowWidth="29040" windowHeight="15720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odvidosig">Систем!$A$31:$A$39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Фиш!$B$2:$R$39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6" l="1"/>
  <c r="E68" i="23"/>
  <c r="F65" i="23"/>
  <c r="C59" i="23"/>
  <c r="B58" i="23"/>
  <c r="H71" i="23" s="1"/>
  <c r="E54" i="23"/>
  <c r="F51" i="23"/>
  <c r="C45" i="23"/>
  <c r="B44" i="23"/>
  <c r="H57" i="23" s="1"/>
  <c r="H42" i="23"/>
  <c r="D41" i="23"/>
  <c r="E40" i="23"/>
  <c r="D39" i="23"/>
  <c r="J38" i="23"/>
  <c r="F37" i="23"/>
  <c r="J36" i="23"/>
  <c r="D36" i="23"/>
  <c r="D34" i="23"/>
  <c r="J32" i="23"/>
  <c r="J31" i="23"/>
  <c r="F31" i="23"/>
  <c r="C31" i="23"/>
  <c r="B30" i="23"/>
  <c r="H43" i="23" s="1"/>
  <c r="H28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J41" i="23"/>
  <c r="H40" i="23"/>
  <c r="F41" i="23"/>
  <c r="D31" i="23"/>
  <c r="R10" i="1"/>
  <c r="B51" i="5"/>
  <c r="B50" i="5"/>
  <c r="M6" i="7"/>
  <c r="L6" i="7"/>
  <c r="D33" i="23" l="1"/>
  <c r="C61" i="23"/>
  <c r="C67" i="23"/>
  <c r="C68" i="23"/>
  <c r="C69" i="23"/>
  <c r="B71" i="23"/>
  <c r="C63" i="23"/>
  <c r="C70" i="23"/>
  <c r="E71" i="23"/>
  <c r="G58" i="23"/>
  <c r="C60" i="23"/>
  <c r="C62" i="23"/>
  <c r="A58" i="23"/>
  <c r="I58" i="23"/>
  <c r="H58" i="23" s="1"/>
  <c r="C53" i="23"/>
  <c r="C54" i="23"/>
  <c r="G44" i="23"/>
  <c r="C46" i="23"/>
  <c r="C48" i="23"/>
  <c r="C55" i="23"/>
  <c r="B57" i="23"/>
  <c r="C49" i="23"/>
  <c r="C56" i="23"/>
  <c r="E57" i="23"/>
  <c r="C47" i="23"/>
  <c r="A44" i="23"/>
  <c r="I44" i="23"/>
  <c r="H44" i="23" s="1"/>
  <c r="C33" i="23"/>
  <c r="C40" i="23"/>
  <c r="C41" i="23"/>
  <c r="B43" i="23"/>
  <c r="G30" i="23"/>
  <c r="C35" i="23"/>
  <c r="C42" i="23"/>
  <c r="E43" i="23"/>
  <c r="C39" i="23"/>
  <c r="C32" i="23"/>
  <c r="C34" i="23"/>
  <c r="A30" i="23"/>
  <c r="I30" i="23"/>
  <c r="H30" i="23" s="1"/>
  <c r="E29" i="23"/>
  <c r="C19" i="23"/>
  <c r="C25" i="23"/>
  <c r="C26" i="23"/>
  <c r="G16" i="23"/>
  <c r="C18" i="23"/>
  <c r="C20" i="23"/>
  <c r="C27" i="23"/>
  <c r="B29" i="23"/>
  <c r="C21" i="23"/>
  <c r="C28" i="23"/>
  <c r="A16" i="23"/>
  <c r="I16" i="23"/>
  <c r="H16" i="23" s="1"/>
  <c r="AA10" i="1"/>
  <c r="F34" i="23" s="1"/>
  <c r="F33" i="23" l="1"/>
  <c r="F38" i="23"/>
  <c r="B53" i="5"/>
  <c r="B55" i="5" s="1"/>
  <c r="B52" i="5"/>
  <c r="B54" i="5" s="1"/>
  <c r="EI2" i="1" l="1"/>
  <c r="EH2" i="1"/>
  <c r="EG2" i="1"/>
  <c r="EF2" i="1"/>
  <c r="DU2" i="1"/>
  <c r="DT2" i="1"/>
  <c r="CN2" i="1"/>
  <c r="CM2" i="1"/>
  <c r="AF5" i="1" l="1"/>
  <c r="AG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26" i="1" l="1"/>
  <c r="AC9" i="1"/>
  <c r="F27" i="23" s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8" i="5"/>
  <c r="B9" i="5"/>
  <c r="B10" i="5" l="1"/>
  <c r="DB2" i="1"/>
  <c r="F41" i="14" l="1"/>
  <c r="R26" i="1" l="1"/>
  <c r="AS14" i="1" l="1"/>
  <c r="AS15" i="1"/>
  <c r="AS16" i="1"/>
  <c r="AS17" i="1"/>
  <c r="AS18" i="1"/>
  <c r="AS19" i="1"/>
  <c r="AS20" i="1"/>
  <c r="AS13" i="1"/>
  <c r="T14" i="1"/>
  <c r="U14" i="1"/>
  <c r="Y14" i="1"/>
  <c r="AD14" i="1"/>
  <c r="AH14" i="1"/>
  <c r="AI14" i="1"/>
  <c r="AL14" i="1"/>
  <c r="AO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T20" i="1"/>
  <c r="U20" i="1"/>
  <c r="Y20" i="1"/>
  <c r="AC20" i="1"/>
  <c r="AD20" i="1"/>
  <c r="AH20" i="1"/>
  <c r="AI20" i="1"/>
  <c r="AL20" i="1"/>
  <c r="AO20" i="1"/>
  <c r="T13" i="1"/>
  <c r="U13" i="1"/>
  <c r="D64" i="23" s="1"/>
  <c r="Y13" i="1"/>
  <c r="H70" i="23" s="1"/>
  <c r="AD13" i="1"/>
  <c r="AH13" i="1"/>
  <c r="J60" i="23" s="1"/>
  <c r="AI13" i="1"/>
  <c r="J59" i="23" s="1"/>
  <c r="AL13" i="1"/>
  <c r="J64" i="23" s="1"/>
  <c r="AO13" i="1"/>
  <c r="J66" i="23" s="1"/>
  <c r="P15" i="1"/>
  <c r="P14" i="1"/>
  <c r="P13" i="1"/>
  <c r="F59" i="23" s="1"/>
  <c r="P16" i="1"/>
  <c r="P17" i="1"/>
  <c r="P18" i="1"/>
  <c r="P19" i="1"/>
  <c r="P20" i="1"/>
  <c r="O13" i="1"/>
  <c r="D62" i="23" s="1"/>
  <c r="O16" i="1"/>
  <c r="O14" i="1"/>
  <c r="O15" i="1"/>
  <c r="O17" i="1"/>
  <c r="O18" i="1"/>
  <c r="O19" i="1"/>
  <c r="O20" i="1"/>
  <c r="L17" i="1"/>
  <c r="L18" i="1"/>
  <c r="L16" i="1"/>
  <c r="D67" i="23" l="1"/>
  <c r="D69" i="23"/>
  <c r="G4" i="5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A26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I26" i="1"/>
  <c r="BE26" i="1"/>
  <c r="BE9" i="1"/>
  <c r="BE8" i="1"/>
  <c r="BD26" i="1"/>
  <c r="BD9" i="1"/>
  <c r="BD8" i="1"/>
  <c r="BC26" i="1"/>
  <c r="AG26" i="1"/>
  <c r="AF7" i="1"/>
  <c r="AC19" i="1" l="1"/>
  <c r="AC15" i="1"/>
  <c r="AG15" i="1"/>
  <c r="CK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K10" i="1"/>
  <c r="CJ10" i="1" l="1"/>
  <c r="CI10" i="1"/>
  <c r="F36" i="23"/>
  <c r="F23" i="6"/>
  <c r="P23" i="6" s="1"/>
  <c r="F35" i="23" l="1"/>
  <c r="L26" i="1"/>
  <c r="BG9" i="1"/>
  <c r="BH9" i="1"/>
  <c r="EF9" i="1"/>
  <c r="CZ9" i="1"/>
  <c r="DA9" i="1"/>
  <c r="DB9" i="1"/>
  <c r="DD9" i="1"/>
  <c r="CK9" i="1"/>
  <c r="F22" i="23" l="1"/>
  <c r="BR9" i="1"/>
  <c r="CY9" i="1"/>
  <c r="V26" i="1"/>
  <c r="AA26" i="1" s="1"/>
  <c r="AB26" i="1" s="1"/>
  <c r="EH9" i="1"/>
  <c r="EK9" i="1"/>
  <c r="EI9" i="1"/>
  <c r="EG9" i="1"/>
  <c r="BB26" i="1" l="1"/>
  <c r="Z26" i="1"/>
  <c r="L9" i="1"/>
  <c r="D17" i="23" s="1"/>
  <c r="L8" i="1"/>
  <c r="R8" i="1" s="1"/>
  <c r="R20" i="1" l="1"/>
  <c r="R14" i="1"/>
  <c r="CJ26" i="1"/>
  <c r="CI26" i="1"/>
  <c r="CM26" i="1"/>
  <c r="R9" i="1"/>
  <c r="D19" i="23" s="1"/>
  <c r="L20" i="1"/>
  <c r="DT26" i="1"/>
  <c r="R19" i="1"/>
  <c r="L13" i="1"/>
  <c r="L19" i="1"/>
  <c r="L15" i="1"/>
  <c r="R15" i="1"/>
  <c r="L14" i="1"/>
  <c r="P25" i="15"/>
  <c r="R13" i="1" l="1"/>
  <c r="C3" i="23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AC8" i="1" s="1"/>
  <c r="F6" i="7"/>
  <c r="G6" i="7"/>
  <c r="H6" i="7"/>
  <c r="I6" i="7"/>
  <c r="J6" i="7"/>
  <c r="K6" i="7"/>
  <c r="N6" i="7"/>
  <c r="O6" i="7"/>
  <c r="AC13" i="1" l="1"/>
  <c r="AC14" i="1"/>
  <c r="AB5" i="1"/>
  <c r="AC5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EW2" i="1"/>
  <c r="EV2" i="1"/>
  <c r="ES2" i="1"/>
  <c r="ER2" i="1"/>
  <c r="EW8" i="1"/>
  <c r="B74" i="5"/>
  <c r="B34" i="5"/>
  <c r="DR2" i="1" s="1"/>
  <c r="B25" i="5"/>
  <c r="DH2" i="1" s="1"/>
  <c r="AX9" i="1"/>
  <c r="J27" i="23" s="1"/>
  <c r="F18" i="10"/>
  <c r="L15" i="14" s="1"/>
  <c r="DI2" i="1"/>
  <c r="EM2" i="1"/>
  <c r="EL2" i="1"/>
  <c r="DF2" i="1"/>
  <c r="DE2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50" i="23" s="1"/>
  <c r="P12" i="6"/>
  <c r="M23" i="6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56" i="23" s="1"/>
  <c r="AH11" i="1"/>
  <c r="J46" i="23" s="1"/>
  <c r="AI11" i="1"/>
  <c r="J45" i="23" s="1"/>
  <c r="AL11" i="1"/>
  <c r="J50" i="23" s="1"/>
  <c r="AO11" i="1"/>
  <c r="J52" i="23" s="1"/>
  <c r="T11" i="1"/>
  <c r="P11" i="1"/>
  <c r="F45" i="23" s="1"/>
  <c r="O11" i="1"/>
  <c r="D48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L10" i="6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AN2" i="1"/>
  <c r="D53" i="23" l="1"/>
  <c r="D55" i="23"/>
  <c r="H31" i="23"/>
  <c r="H38" i="23"/>
  <c r="H32" i="23"/>
  <c r="H34" i="23"/>
  <c r="H36" i="23"/>
  <c r="F39" i="23"/>
  <c r="H35" i="23"/>
  <c r="CV8" i="1"/>
  <c r="B24" i="5"/>
  <c r="DG2" i="1" s="1"/>
  <c r="E12" i="23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FB9" i="1"/>
  <c r="H21" i="23" s="1"/>
  <c r="DQ9" i="1"/>
  <c r="H23" i="23" s="1"/>
  <c r="DQ8" i="1"/>
  <c r="DP8" i="1"/>
  <c r="H10" i="23" s="1"/>
  <c r="DP9" i="1"/>
  <c r="H24" i="23" s="1"/>
  <c r="P5" i="6"/>
  <c r="DZ9" i="1"/>
  <c r="DY9" i="1"/>
  <c r="EU9" i="1"/>
  <c r="CQ9" i="1"/>
  <c r="EA9" i="1"/>
  <c r="DX9" i="1"/>
  <c r="DV9" i="1"/>
  <c r="CR9" i="1"/>
  <c r="CO9" i="1"/>
  <c r="EX9" i="1"/>
  <c r="EQ9" i="1"/>
  <c r="EC9" i="1"/>
  <c r="CT9" i="1"/>
  <c r="CV9" i="1"/>
  <c r="DJ9" i="1"/>
  <c r="DL9" i="1"/>
  <c r="DH9" i="1"/>
  <c r="H17" i="23" s="1"/>
  <c r="ER9" i="1"/>
  <c r="EV9" i="1"/>
  <c r="DW9" i="1"/>
  <c r="CP9" i="1"/>
  <c r="EB9" i="1"/>
  <c r="EO9" i="1"/>
  <c r="CS9" i="1"/>
  <c r="CU9" i="1"/>
  <c r="DK9" i="1"/>
  <c r="DR9" i="1"/>
  <c r="H18" i="23" s="1"/>
  <c r="ES9" i="1"/>
  <c r="EW9" i="1"/>
  <c r="ES8" i="1"/>
  <c r="F8" i="23"/>
  <c r="H24" i="6"/>
  <c r="R24" i="6" s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CK11" i="1"/>
  <c r="C34" i="5" s="1"/>
  <c r="CG11" i="1"/>
  <c r="C46" i="5" s="1"/>
  <c r="E36" i="20"/>
  <c r="CU10" i="1"/>
  <c r="CS8" i="1"/>
  <c r="DI10" i="1"/>
  <c r="CH11" i="1"/>
  <c r="CU8" i="1"/>
  <c r="EB8" i="1"/>
  <c r="DV8" i="1"/>
  <c r="BD11" i="1"/>
  <c r="BG11" i="1"/>
  <c r="BO11" i="1"/>
  <c r="C66" i="5" s="1"/>
  <c r="G30" i="6"/>
  <c r="EV8" i="1"/>
  <c r="BP11" i="1"/>
  <c r="C67" i="5" s="1"/>
  <c r="AC11" i="1"/>
  <c r="G31" i="6"/>
  <c r="N27" i="6"/>
  <c r="C29" i="6"/>
  <c r="DR8" i="1"/>
  <c r="H4" i="23" s="1"/>
  <c r="N30" i="6"/>
  <c r="C32" i="6"/>
  <c r="C8" i="6"/>
  <c r="M8" i="6" s="1"/>
  <c r="CQ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3" i="15"/>
  <c r="L4" i="15"/>
  <c r="F64" i="23" l="1"/>
  <c r="F50" i="23"/>
  <c r="D59" i="23"/>
  <c r="D45" i="23"/>
  <c r="D38" i="23"/>
  <c r="F69" i="23"/>
  <c r="F55" i="23"/>
  <c r="H41" i="23"/>
  <c r="H37" i="23"/>
  <c r="H33" i="23"/>
  <c r="H25" i="23"/>
  <c r="F28" i="23"/>
  <c r="H39" i="23"/>
  <c r="F42" i="23"/>
  <c r="F40" i="23"/>
  <c r="DG26" i="1"/>
  <c r="H9" i="23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V14" i="1" s="1"/>
  <c r="D5" i="23"/>
  <c r="C12" i="5"/>
  <c r="R11" i="1"/>
  <c r="V9" i="1"/>
  <c r="D24" i="23" s="1"/>
  <c r="DX11" i="1"/>
  <c r="D42" i="5" s="1"/>
  <c r="F39" i="5" s="1"/>
  <c r="F14" i="23"/>
  <c r="EV11" i="1"/>
  <c r="D66" i="5" s="1"/>
  <c r="F63" i="5" s="1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DH11" i="1"/>
  <c r="DY11" i="1"/>
  <c r="D43" i="5" s="1"/>
  <c r="F40" i="5" s="1"/>
  <c r="EB11" i="1"/>
  <c r="D46" i="5" s="1"/>
  <c r="F43" i="5" s="1"/>
  <c r="DV11" i="1"/>
  <c r="D40" i="5" s="1"/>
  <c r="F37" i="5" s="1"/>
  <c r="C40" i="5"/>
  <c r="C6" i="5"/>
  <c r="C13" i="5"/>
  <c r="C47" i="5"/>
  <c r="DZ11" i="1"/>
  <c r="D44" i="5" s="1"/>
  <c r="F41" i="5" s="1"/>
  <c r="DR11" i="1"/>
  <c r="CQ11" i="1"/>
  <c r="D8" i="5" s="1"/>
  <c r="F8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N20" i="6"/>
  <c r="D36" i="6"/>
  <c r="DW11" i="1"/>
  <c r="D41" i="5" s="1"/>
  <c r="F38" i="5" s="1"/>
  <c r="C41" i="5"/>
  <c r="C7" i="5"/>
  <c r="H65" i="23" l="1"/>
  <c r="H51" i="23"/>
  <c r="H66" i="23"/>
  <c r="H52" i="23"/>
  <c r="F56" i="23"/>
  <c r="H60" i="23"/>
  <c r="H46" i="23"/>
  <c r="H59" i="23"/>
  <c r="H45" i="23"/>
  <c r="D61" i="23"/>
  <c r="D47" i="23"/>
  <c r="F70" i="23"/>
  <c r="J33" i="23"/>
  <c r="AA9" i="1"/>
  <c r="F20" i="23" s="1"/>
  <c r="V20" i="1"/>
  <c r="AA8" i="1"/>
  <c r="BJ8" i="1" s="1"/>
  <c r="V19" i="1"/>
  <c r="V13" i="1"/>
  <c r="V15" i="1"/>
  <c r="Z8" i="1"/>
  <c r="BZ8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V11" i="1"/>
  <c r="Z9" i="1"/>
  <c r="F19" i="23" s="1"/>
  <c r="N36" i="6"/>
  <c r="AB8" i="1" l="1"/>
  <c r="AB14" i="1" s="1"/>
  <c r="AA14" i="1"/>
  <c r="BI8" i="1"/>
  <c r="Z19" i="1"/>
  <c r="Z14" i="1"/>
  <c r="D66" i="23"/>
  <c r="D52" i="23"/>
  <c r="H63" i="23"/>
  <c r="J34" i="23"/>
  <c r="AB9" i="1"/>
  <c r="F24" i="23" s="1"/>
  <c r="BT9" i="1"/>
  <c r="CX9" i="1" s="1"/>
  <c r="BS9" i="1"/>
  <c r="CB8" i="1"/>
  <c r="EM8" i="1" s="1"/>
  <c r="CB9" i="1"/>
  <c r="DF9" i="1" s="1"/>
  <c r="BC9" i="1"/>
  <c r="AG9" i="1"/>
  <c r="H26" i="23" s="1"/>
  <c r="Z20" i="1"/>
  <c r="AA20" i="1"/>
  <c r="CA9" i="1"/>
  <c r="CA11" i="1" s="1"/>
  <c r="BS8" i="1"/>
  <c r="ED8" i="1" s="1"/>
  <c r="BT8" i="1"/>
  <c r="AA19" i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BC8" i="1"/>
  <c r="AG8" i="1"/>
  <c r="F6" i="23"/>
  <c r="AF9" i="1"/>
  <c r="H19" i="23" s="1"/>
  <c r="DL8" i="1"/>
  <c r="BU11" i="1"/>
  <c r="EL8" i="1"/>
  <c r="BL11" i="1"/>
  <c r="C63" i="5" s="1"/>
  <c r="ES11" i="1"/>
  <c r="D63" i="5" s="1"/>
  <c r="F60" i="5" s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25" i="5"/>
  <c r="C12" i="10"/>
  <c r="Z11" i="1"/>
  <c r="EI8" i="1"/>
  <c r="DB8" i="1"/>
  <c r="AG20" i="1" l="1"/>
  <c r="AG14" i="1"/>
  <c r="CJ9" i="1"/>
  <c r="CI9" i="1"/>
  <c r="CJ8" i="1"/>
  <c r="CI8" i="1"/>
  <c r="CN9" i="1"/>
  <c r="F61" i="23"/>
  <c r="F47" i="23"/>
  <c r="F62" i="23"/>
  <c r="F48" i="23"/>
  <c r="J40" i="23"/>
  <c r="J37" i="23"/>
  <c r="EM9" i="1"/>
  <c r="EM11" i="1" s="1"/>
  <c r="D57" i="5" s="1"/>
  <c r="F54" i="5" s="1"/>
  <c r="EE9" i="1"/>
  <c r="DF8" i="1"/>
  <c r="DF11" i="1" s="1"/>
  <c r="ED9" i="1"/>
  <c r="ED11" i="1" s="1"/>
  <c r="D50" i="5" s="1"/>
  <c r="F47" i="5" s="1"/>
  <c r="CW9" i="1"/>
  <c r="AF20" i="1"/>
  <c r="EL9" i="1"/>
  <c r="EL11" i="1" s="1"/>
  <c r="D56" i="5" s="1"/>
  <c r="F53" i="5" s="1"/>
  <c r="DE9" i="1"/>
  <c r="AB20" i="1"/>
  <c r="BS11" i="1"/>
  <c r="C50" i="5" s="1"/>
  <c r="CW8" i="1"/>
  <c r="EE8" i="1"/>
  <c r="CX8" i="1"/>
  <c r="CX11" i="1" s="1"/>
  <c r="D17" i="5" s="1"/>
  <c r="F17" i="5" s="1"/>
  <c r="BT11" i="1"/>
  <c r="CN8" i="1"/>
  <c r="FA9" i="1"/>
  <c r="AG13" i="1"/>
  <c r="AG19" i="1"/>
  <c r="AB13" i="1"/>
  <c r="AB19" i="1"/>
  <c r="H12" i="23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H20" i="6"/>
  <c r="R20" i="6" s="1"/>
  <c r="EY8" i="1"/>
  <c r="DM8" i="1"/>
  <c r="BI11" i="1"/>
  <c r="C60" i="5" s="1"/>
  <c r="FA8" i="1"/>
  <c r="DN8" i="1"/>
  <c r="EZ8" i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DT9" i="1"/>
  <c r="DG8" i="1"/>
  <c r="F12" i="23" s="1"/>
  <c r="BY11" i="1"/>
  <c r="C14" i="5" s="1"/>
  <c r="DC8" i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BC11" i="1"/>
  <c r="F10" i="23"/>
  <c r="DT8" i="1"/>
  <c r="CM8" i="1"/>
  <c r="BJ11" i="1"/>
  <c r="EQ11" i="1"/>
  <c r="D61" i="5" s="1"/>
  <c r="F58" i="5" s="1"/>
  <c r="AB11" i="1"/>
  <c r="C55" i="5"/>
  <c r="BB11" i="1"/>
  <c r="C4" i="5" s="1"/>
  <c r="BR8" i="1" l="1"/>
  <c r="BR11" i="1" s="1"/>
  <c r="EZ11" i="1"/>
  <c r="D70" i="5" s="1"/>
  <c r="F67" i="5" s="1"/>
  <c r="DC11" i="1"/>
  <c r="D14" i="5" s="1"/>
  <c r="F14" i="5" s="1"/>
  <c r="CJ11" i="1"/>
  <c r="CN11" i="1"/>
  <c r="D5" i="5" s="1"/>
  <c r="F5" i="5" s="1"/>
  <c r="F66" i="23"/>
  <c r="F52" i="23"/>
  <c r="H68" i="23"/>
  <c r="H54" i="23"/>
  <c r="H20" i="23"/>
  <c r="F21" i="23"/>
  <c r="F25" i="23"/>
  <c r="EE11" i="1"/>
  <c r="D51" i="5" s="1"/>
  <c r="F48" i="5" s="1"/>
  <c r="DN11" i="1"/>
  <c r="D31" i="5" s="1"/>
  <c r="F31" i="5" s="1"/>
  <c r="CW11" i="1"/>
  <c r="D16" i="5" s="1"/>
  <c r="F16" i="5" s="1"/>
  <c r="DO9" i="1"/>
  <c r="H22" i="23" s="1"/>
  <c r="DE11" i="1"/>
  <c r="D22" i="5" s="1"/>
  <c r="F22" i="5" s="1"/>
  <c r="C16" i="5"/>
  <c r="AJ20" i="1"/>
  <c r="C17" i="5"/>
  <c r="C51" i="5"/>
  <c r="CI11" i="1"/>
  <c r="F7" i="23"/>
  <c r="AJ15" i="1"/>
  <c r="D23" i="5"/>
  <c r="F23" i="5" s="1"/>
  <c r="D27" i="5"/>
  <c r="F27" i="5" s="1"/>
  <c r="D29" i="5"/>
  <c r="F29" i="5" s="1"/>
  <c r="EJ11" i="1"/>
  <c r="D48" i="5" s="1"/>
  <c r="F45" i="5" s="1"/>
  <c r="C29" i="5"/>
  <c r="C20" i="5"/>
  <c r="H6" i="23"/>
  <c r="H13" i="23"/>
  <c r="C48" i="5"/>
  <c r="DI11" i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11" i="23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C61" i="5"/>
  <c r="C68" i="5"/>
  <c r="AK9" i="1"/>
  <c r="J20" i="23" s="1"/>
  <c r="DG11" i="1"/>
  <c r="CM11" i="1"/>
  <c r="C69" i="5"/>
  <c r="C24" i="5"/>
  <c r="C38" i="5"/>
  <c r="DM11" i="1"/>
  <c r="C32" i="5" l="1" a="1"/>
  <c r="C32" i="5" s="1"/>
  <c r="FB8" i="1"/>
  <c r="H7" i="23" s="1"/>
  <c r="C73" i="5" a="1"/>
  <c r="C73" i="5" s="1"/>
  <c r="DO8" i="1"/>
  <c r="DO11" i="1" s="1"/>
  <c r="AF8" i="1"/>
  <c r="AF13" i="1" s="1"/>
  <c r="H61" i="23" s="1"/>
  <c r="F68" i="23"/>
  <c r="F54" i="23"/>
  <c r="H67" i="23"/>
  <c r="H53" i="23"/>
  <c r="H69" i="23"/>
  <c r="H55" i="23"/>
  <c r="H62" i="23"/>
  <c r="H48" i="23"/>
  <c r="F53" i="23"/>
  <c r="F63" i="23"/>
  <c r="F49" i="23"/>
  <c r="F67" i="23"/>
  <c r="AK20" i="1"/>
  <c r="D28" i="5"/>
  <c r="F28" i="5" s="1"/>
  <c r="D4" i="5"/>
  <c r="F4" i="5" s="1"/>
  <c r="AK15" i="1"/>
  <c r="D26" i="5"/>
  <c r="F26" i="5" s="1"/>
  <c r="D30" i="5"/>
  <c r="F30" i="5" s="1"/>
  <c r="D24" i="5"/>
  <c r="F24" i="5" s="1"/>
  <c r="AM9" i="1"/>
  <c r="J23" i="23" s="1"/>
  <c r="FB11" i="1" l="1"/>
  <c r="D73" i="5" s="1"/>
  <c r="F70" i="5" s="1"/>
  <c r="H8" i="23"/>
  <c r="AF19" i="1"/>
  <c r="AF14" i="1"/>
  <c r="H5" i="23"/>
  <c r="AF11" i="1"/>
  <c r="H47" i="23" s="1"/>
  <c r="H23" i="6"/>
  <c r="R23" i="6" s="1"/>
  <c r="AJ8" i="1"/>
  <c r="AJ13" i="1" s="1"/>
  <c r="J61" i="23" s="1"/>
  <c r="H49" i="23"/>
  <c r="H64" i="23"/>
  <c r="H50" i="23"/>
  <c r="AM20" i="1"/>
  <c r="D32" i="5"/>
  <c r="F32" i="5" s="1"/>
  <c r="F7" i="22" s="1"/>
  <c r="C14" i="10"/>
  <c r="G7" i="22"/>
  <c r="AM15" i="1"/>
  <c r="C13" i="10"/>
  <c r="AN9" i="1"/>
  <c r="E7" i="22"/>
  <c r="C11" i="10"/>
  <c r="AJ19" i="1" l="1"/>
  <c r="AJ14" i="1"/>
  <c r="H15" i="6"/>
  <c r="R15" i="6" s="1"/>
  <c r="AK8" i="1"/>
  <c r="AK13" i="1" s="1"/>
  <c r="J62" i="23" s="1"/>
  <c r="AJ11" i="1"/>
  <c r="J5" i="23"/>
  <c r="AQ19" i="1"/>
  <c r="AX8" i="1"/>
  <c r="J13" i="23" s="1"/>
  <c r="AN20" i="1"/>
  <c r="D35" i="5"/>
  <c r="C15" i="10"/>
  <c r="AQ9" i="1"/>
  <c r="J26" i="23" s="1"/>
  <c r="AN15" i="1"/>
  <c r="AK19" i="1" l="1"/>
  <c r="AK14" i="1"/>
  <c r="AK11" i="1"/>
  <c r="AM8" i="1"/>
  <c r="AM13" i="1" s="1"/>
  <c r="J65" i="23" s="1"/>
  <c r="H25" i="6"/>
  <c r="R25" i="6" s="1"/>
  <c r="J6" i="23"/>
  <c r="C74" i="5"/>
  <c r="J47" i="23"/>
  <c r="H32" i="6"/>
  <c r="AX11" i="1"/>
  <c r="AQ20" i="1"/>
  <c r="AQ15" i="1"/>
  <c r="J48" i="23" l="1"/>
  <c r="D74" i="5"/>
  <c r="AM19" i="1"/>
  <c r="AM14" i="1"/>
  <c r="AN8" i="1"/>
  <c r="AN13" i="1" s="1"/>
  <c r="J9" i="23"/>
  <c r="AM11" i="1"/>
  <c r="J51" i="23" s="1"/>
  <c r="J69" i="23"/>
  <c r="J55" i="23"/>
  <c r="R32" i="6"/>
  <c r="H36" i="6"/>
  <c r="D75" i="5" l="1"/>
  <c r="C17" i="10"/>
  <c r="F71" i="5"/>
  <c r="D7" i="22" s="1"/>
  <c r="H7" i="22" s="1"/>
  <c r="AN19" i="1"/>
  <c r="AN14" i="1"/>
  <c r="AN11" i="1"/>
  <c r="AQ8" i="1"/>
  <c r="AQ13" i="1" s="1"/>
  <c r="J68" i="23" s="1"/>
  <c r="D38" i="6"/>
  <c r="N38" i="6" s="1"/>
  <c r="R36" i="6"/>
  <c r="AQ14" i="1" l="1"/>
  <c r="J12" i="23"/>
  <c r="AQ11" i="1"/>
  <c r="J54" i="2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Работници при еднодневни трудови договори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<sst xmlns="http://schemas.openxmlformats.org/spreadsheetml/2006/main" count="1050" uniqueCount="618">
  <si>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</si>
  <si>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</si>
  <si>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</si>
  <si>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</si>
  <si>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</si>
  <si>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</si>
  <si>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</si>
  <si>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</si>
  <si>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</si>
  <si>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</si>
  <si>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</si>
  <si>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</si>
  <si>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</si>
  <si>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</si>
  <si>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</si>
  <si>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</si>
  <si>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</si>
  <si>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</si>
  <si>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</si>
  <si>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</si>
  <si>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</si>
  <si>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</si>
  <si>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</si>
  <si>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</si>
  <si>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</si>
  <si>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</si>
  <si>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</si>
  <si>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</si>
  <si>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</si>
  <si>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</si>
  <si>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</si>
  <si>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</si>
  <si>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</si>
  <si>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</si>
  <si>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</si>
  <si>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</si>
  <si>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</si>
  <si>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</si>
  <si>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</si>
  <si>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</si>
  <si>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</si>
  <si>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</si>
  <si>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</si>
  <si>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</si>
  <si>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</si>
  <si>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</si>
  <si>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</si>
  <si>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</si>
  <si>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</si>
  <si>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</si>
  <si>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</si>
  <si>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</si>
  <si>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</si>
  <si>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</si>
  <si>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</si>
  <si>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</si>
  <si>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</si>
  <si>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</si>
  <si>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</si>
  <si>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</si>
  <si>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</si>
  <si>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</si>
  <si>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</si>
  <si>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</si>
  <si>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</si>
  <si>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</si>
  <si>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</si>
  <si>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</si>
  <si>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</si>
  <si>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</si>
  <si>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</si>
  <si>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</si>
  <si>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</si>
  <si>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</si>
  <si>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</si>
  <si>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</si>
  <si>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</si>
  <si>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</si>
  <si>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</si>
  <si>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</si>
  <si>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</si>
  <si>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</si>
  <si>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</si>
  <si>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</si>
  <si>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</si>
  <si>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</si>
  <si>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</si>
  <si>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</si>
  <si>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</si>
  <si>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</si>
  <si>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</si>
  <si>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</si>
  <si>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</si>
  <si>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</si>
  <si>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</si>
  <si>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</si>
  <si>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</si>
  <si>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</si>
  <si>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</si>
  <si>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</si>
  <si>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</si>
  <si>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</si>
  <si>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</si>
  <si>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</si>
  <si>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</si>
  <si>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</si>
  <si>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</si>
  <si>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</si>
  <si>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</si>
  <si>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</si>
  <si>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</si>
  <si>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</si>
  <si>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</si>
  <si>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</si>
  <si>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</si>
  <si>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</si>
  <si>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</si>
  <si>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</si>
  <si>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</si>
  <si>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</si>
  <si>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</si>
  <si>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</si>
  <si>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</si>
  <si>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</si>
  <si>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</si>
  <si>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</si>
  <si>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</si>
  <si>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</si>
  <si>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</si>
  <si>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</si>
  <si>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</si>
  <si>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</si>
  <si>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</si>
  <si>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</si>
  <si>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</si>
  <si>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</si>
  <si>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</si>
  <si>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</si>
  <si>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</si>
  <si>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</si>
  <si>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</si>
  <si>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</si>
  <si>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</si>
  <si>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</si>
  <si>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</si>
  <si>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</si>
  <si>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</si>
  <si>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</si>
  <si>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</si>
  <si>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</si>
  <si>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</si>
  <si>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</si>
  <si>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</si>
  <si>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</si>
  <si>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</si>
  <si>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</si>
  <si>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</si>
  <si>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</si>
  <si>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</si>
  <si>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</si>
  <si>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</si>
  <si>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</si>
  <si>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</si>
  <si>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</si>
  <si>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</si>
  <si>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</si>
  <si>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</si>
  <si>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</si>
  <si>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</si>
  <si>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</si>
  <si>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</si>
  <si>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</si>
  <si>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</si>
  <si>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</si>
  <si>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</si>
  <si>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</si>
  <si>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</si>
  <si>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</si>
  <si>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</si>
  <si>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</si>
  <si>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</si>
  <si>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</si>
  <si>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</si>
  <si>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</si>
  <si>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</si>
  <si>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</si>
  <si>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</si>
  <si>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</si>
  <si>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</si>
  <si>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</si>
  <si>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</si>
  <si>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</si>
  <si>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</si>
  <si>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</si>
  <si>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</si>
  <si>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</si>
  <si>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</si>
  <si>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</si>
  <si>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</si>
  <si>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</si>
  <si>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</si>
  <si>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</si>
  <si>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</si>
  <si>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</si>
  <si>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</si>
  <si>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</si>
  <si>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</si>
  <si>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</si>
  <si>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</si>
  <si>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</si>
  <si>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</si>
  <si>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</si>
  <si>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</si>
  <si>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</si>
  <si>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</si>
  <si>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</si>
  <si>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</si>
  <si>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</si>
  <si>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</si>
  <si>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</si>
  <si>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</si>
  <si>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</si>
  <si>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</si>
  <si>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</si>
  <si>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</si>
  <si>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</si>
  <si>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</si>
  <si>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</si>
  <si>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</si>
  <si>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</si>
  <si>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</si>
  <si>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</si>
  <si>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</si>
  <si>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</si>
  <si>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</si>
  <si>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</si>
  <si>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</si>
  <si>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</si>
  <si>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</si>
  <si>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</si>
  <si>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</si>
  <si>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</si>
  <si>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</si>
  <si>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</si>
  <si>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</si>
  <si>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</si>
  <si>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</si>
  <si>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</si>
  <si>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</si>
  <si>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</si>
  <si>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</si>
  <si>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</si>
  <si>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</si>
  <si>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</si>
  <si>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</si>
  <si>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</si>
  <si>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</si>
  <si>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</si>
  <si>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</si>
  <si>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</si>
  <si>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</si>
  <si>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</si>
  <si>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</si>
  <si>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</si>
  <si>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</si>
  <si>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</si>
  <si>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</si>
  <si>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</si>
  <si>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</si>
  <si>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</si>
  <si>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</si>
  <si>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</si>
  <si>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</si>
  <si>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</si>
  <si>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</si>
  <si>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</si>
  <si>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</si>
  <si>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</si>
  <si>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</si>
  <si>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</si>
  <si>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</si>
  <si>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</si>
  <si>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</si>
  <si>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</si>
  <si>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</si>
  <si>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</si>
  <si>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</si>
  <si>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</si>
  <si>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</si>
  <si>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</si>
  <si>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</si>
  <si>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</si>
  <si>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</si>
  <si>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</si>
  <si>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</si>
  <si>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</si>
  <si>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</si>
  <si>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</si>
  <si>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</si>
  <si>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</si>
  <si>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</si>
  <si>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</si>
  <si>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</si>
  <si>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</si>
  <si>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</si>
  <si>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</si>
  <si>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</si>
  <si>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</si>
  <si>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</si>
  <si>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</si>
  <si>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</si>
  <si>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</si>
  <si>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</si>
  <si>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</si>
  <si>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</si>
  <si>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</si>
  <si>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</si>
  <si>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</si>
  <si>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</si>
  <si>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</si>
  <si>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</si>
  <si>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</si>
  <si>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</si>
  <si>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</si>
  <si>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</si>
  <si>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</si>
  <si>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</si>
  <si>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</si>
  <si>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</si>
  <si>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</si>
  <si>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</si>
  <si>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</si>
  <si>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</si>
  <si>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</si>
  <si>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</si>
  <si>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</si>
  <si>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</si>
  <si>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</si>
  <si>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</si>
  <si>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</si>
  <si>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</si>
  <si>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</si>
  <si>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</si>
  <si>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</si>
  <si>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</si>
  <si>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</si>
  <si>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</si>
  <si>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</si>
  <si>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</si>
  <si>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</si>
  <si>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</si>
  <si>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</si>
  <si>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</si>
  <si>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</si>
  <si>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</si>
  <si>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</si>
  <si>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</si>
  <si>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</si>
  <si>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</si>
  <si>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</si>
  <si>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</si>
  <si>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</si>
  <si>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</si>
  <si>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</si>
  <si>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</si>
  <si>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</si>
  <si>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</si>
  <si>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</si>
  <si>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</si>
  <si>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</si>
  <si>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</si>
  <si>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</si>
  <si>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</si>
  <si>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</si>
  <si>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</si>
  <si>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</si>
  <si>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</si>
  <si>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</si>
  <si>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</si>
  <si>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</si>
  <si>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</si>
  <si>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</si>
  <si>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</si>
  <si>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</si>
  <si>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</si>
  <si>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</si>
  <si>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</si>
  <si>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</si>
  <si>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</si>
  <si>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</si>
  <si>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</si>
  <si>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</si>
  <si>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</si>
  <si>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</si>
  <si>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</si>
  <si>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</si>
  <si>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</si>
  <si>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</si>
  <si>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</si>
  <si>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</si>
  <si>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</si>
  <si>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</si>
  <si>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</si>
  <si>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</si>
  <si>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</si>
  <si>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</si>
  <si>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</si>
  <si>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</si>
  <si>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</si>
  <si>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</si>
  <si>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</si>
  <si>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</si>
  <si>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</si>
  <si>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</si>
  <si>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</si>
  <si>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</si>
  <si>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</si>
  <si>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</si>
  <si>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</si>
  <si>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</si>
  <si>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</si>
  <si>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</si>
  <si>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</si>
  <si>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</si>
  <si>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</si>
  <si>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</si>
  <si>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</si>
  <si>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</si>
  <si>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</si>
  <si>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</si>
  <si>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</si>
  <si>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</si>
  <si>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</si>
  <si>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</si>
  <si>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</si>
  <si>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</si>
  <si>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</si>
  <si>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</si>
  <si>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</si>
  <si>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</si>
  <si>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</si>
  <si>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</si>
  <si>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</si>
  <si>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</si>
  <si>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</si>
  <si>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</si>
  <si>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</si>
  <si>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</si>
  <si>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</si>
  <si>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</si>
  <si>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</si>
  <si>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</si>
  <si>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</si>
  <si>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</si>
  <si>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</si>
  <si>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</si>
  <si>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</si>
  <si>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</si>
  <si>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</si>
  <si>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</si>
  <si>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</si>
  <si>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</si>
  <si>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</si>
  <si>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</si>
  <si>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</si>
  <si>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</si>
  <si>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</si>
  <si>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</si>
  <si>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</si>
  <si>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</si>
  <si>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</si>
  <si>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</si>
  <si>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</si>
  <si>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</si>
  <si>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</si>
  <si>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</si>
  <si>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</si>
  <si>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</si>
  <si>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</si>
  <si>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</si>
  <si>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</si>
  <si>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</si>
  <si>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</si>
  <si>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</si>
  <si>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</si>
  <si>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</si>
  <si>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</si>
  <si>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</si>
  <si>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</si>
  <si>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</si>
  <si>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</si>
  <si>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</si>
  <si>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</si>
  <si>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</si>
  <si>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</si>
  <si>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</si>
  <si>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</si>
  <si>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</si>
  <si>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</si>
  <si>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</si>
  <si>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</si>
  <si>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</si>
  <si>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</si>
  <si>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</si>
  <si>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</si>
  <si>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</si>
  <si>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</si>
  <si>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</si>
  <si>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</si>
  <si>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</si>
  <si>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</si>
  <si>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</si>
  <si>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</si>
  <si>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</si>
  <si>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</si>
  <si>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</si>
  <si>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</si>
  <si>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</si>
  <si>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</si>
  <si>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</si>
  <si>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</si>
  <si>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</si>
  <si>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</si>
  <si>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</si>
  <si>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</si>
  <si>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</si>
  <si>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</si>
  <si>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</si>
  <si>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</si>
  <si>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</si>
  <si>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</si>
  <si>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</si>
  <si>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</si>
  <si>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</si>
  <si>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</si>
  <si>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</si>
  <si>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</si>
  <si>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</si>
  <si>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</si>
  <si>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</si>
  <si>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</si>
  <si>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</si>
  <si>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</si>
  <si>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</si>
  <si>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</si>
  <si>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</si>
  <si>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</si>
  <si>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</si>
  <si>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</si>
  <si>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</si>
  <si>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</si>
  <si>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</si>
  <si>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</si>
  <si>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</si>
  <si>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</si>
  <si>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</si>
  <si>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</si>
  <si>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</si>
  <si>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</si>
  <si>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</si>
  <si>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</si>
  <si>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</si>
  <si>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</si>
  <si>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</si>
  <si>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</si>
  <si>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</si>
  <si>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</si>
  <si>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</si>
  <si>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</si>
  <si>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</si>
  <si>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</si>
  <si>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</si>
  <si>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</si>
  <si>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</si>
  <si>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</si>
  <si>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</si>
  <si>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</si>
  <si>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</si>
  <si>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</si>
  <si>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</si>
  <si>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</si>
  <si>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</si>
  <si>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</si>
  <si>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</si>
  <si>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</si>
  <si>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</si>
  <si>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</si>
  <si>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</si>
  <si>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</si>
  <si>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</si>
  <si>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</si>
  <si>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</si>
  <si>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</si>
  <si>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</si>
  <si>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</si>
  <si>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</si>
  <si>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</si>
  <si>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</si>
  <si>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</si>
  <si>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</si>
  <si>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</si>
  <si>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</si>
  <si>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</si>
  <si>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</si>
  <si>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</si>
  <si>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</si>
  <si>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</si>
  <si>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</si>
  <si>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Обезщетения от ДОО за болнични, които се начисляват и изплащат по НОВИЯ начин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</si>
  <si>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</si>
  <si>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НАЦИОНАЛНА АГЕНЦИЯ ПО ПРИХОДИТЕ
ДЕКЛАРАЦИЯ
Образец № 6    2020 г.
Данни за дължими вноски и данък по чл.42 от ЗДДФЛ</t>
  </si>
  <si>
    <t>ДОО при еднократни трудови договори / родени преди 1960 г.</t>
  </si>
  <si>
    <t>ДОО при еднократни трудови договори / родени след 1960 г.</t>
  </si>
  <si>
    <t>Работници при еднократни трудови договори</t>
  </si>
  <si>
    <t>Ако откриете грешка в разпределението на вноските по отделните фондове моля пишете на spumpala@gmail.com</t>
  </si>
  <si>
    <t>Минимална работна заплата от 01.01.2025 г.</t>
  </si>
  <si>
    <t>вер.2025,03      TROX     http://www.trox-bg.com</t>
  </si>
  <si>
    <t>2025,03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</si>
</sst>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2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5" fillId="0" borderId="0" xfId="0" applyFont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0" xfId="0" applyFont="1" applyAlignment="1" applyProtection="1">
      <alignment horizontal="center" vertical="center" textRotation="90"/>
    </xf>
    <xf numFmtId="0" fontId="1" fillId="0" borderId="0" xfId="0" applyFont="1" applyAlignment="1" applyProtection="1">
      <alignment horizontal="center" vertical="center" wrapText="1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0" fillId="0" borderId="0" xfId="0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182" fontId="21" fillId="6" borderId="0" xfId="0" applyNumberFormat="1" applyFont="1" applyFill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36" fillId="0" borderId="2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51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horizontal="center" wrapText="1"/>
    </xf>
    <xf numFmtId="0" fontId="1" fillId="0" borderId="0" xfId="0" applyNumberFormat="1" applyFont="1" applyProtection="1"/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8" sqref="B8"/>
    </sheetView>
  </sheetViews>
  <sheetFormatPr defaultColWidth="9.140625" defaultRowHeight="12.75" outlineLevelCol="1" x14ac:dyDescent="0.2"/>
  <cols>
    <col min="1" max="1" width="4" style="86" customWidth="1"/>
    <col min="2" max="2" width="37.28515625" style="86" customWidth="1"/>
    <col min="3" max="3" width="2.85546875" style="86" customWidth="1"/>
    <col min="4" max="4" width="6.140625" style="86" customWidth="1"/>
    <col min="5" max="5" width="20.42578125" style="86" customWidth="1"/>
    <col min="6" max="6" width="3.85546875" style="86" customWidth="1"/>
    <col min="7" max="7" width="11.85546875" style="86" customWidth="1"/>
    <col min="8" max="9" width="9.85546875" style="86" customWidth="1"/>
    <col min="10" max="11" width="3.5703125" style="86" customWidth="1"/>
    <col min="12" max="12" width="10.7109375" style="86" customWidth="1"/>
    <col min="13" max="14" width="3.5703125" style="86" customWidth="1"/>
    <col min="15" max="15" width="8.7109375" style="86" customWidth="1"/>
    <col min="16" max="16" width="8.5703125" style="86" customWidth="1"/>
    <col min="17" max="18" width="8.42578125" style="86" customWidth="1"/>
    <col min="19" max="19" width="3.5703125" style="86" customWidth="1"/>
    <col min="20" max="21" width="9.140625" style="86"/>
    <col min="22" max="22" width="10.140625" style="86" customWidth="1"/>
    <col min="23" max="24" width="4.28515625" style="86" customWidth="1"/>
    <col min="25" max="25" width="7.42578125" style="86" customWidth="1"/>
    <col min="26" max="26" width="10" style="86" customWidth="1"/>
    <col min="27" max="27" width="9.5703125" style="86" customWidth="1"/>
    <col min="28" max="28" width="9" style="86" customWidth="1"/>
    <col min="29" max="29" width="7.42578125" style="86" customWidth="1"/>
    <col min="30" max="30" width="6" style="86" hidden="1" customWidth="1"/>
    <col min="31" max="31" width="6.140625" style="86" customWidth="1"/>
    <col min="32" max="33" width="7.5703125" style="86" customWidth="1"/>
    <col min="34" max="34" width="8.140625" style="86" customWidth="1"/>
    <col min="35" max="35" width="8.5703125" style="86" customWidth="1"/>
    <col min="36" max="36" width="9.5703125" style="86" customWidth="1"/>
    <col min="37" max="37" width="8.42578125" style="86" customWidth="1"/>
    <col min="38" max="39" width="8" style="86" customWidth="1"/>
    <col min="40" max="40" width="9.5703125" style="86" customWidth="1"/>
    <col min="41" max="41" width="10" style="86" customWidth="1"/>
    <col min="42" max="42" width="9.42578125" style="86" customWidth="1"/>
    <col min="43" max="43" width="9.28515625" style="86" customWidth="1"/>
    <col min="44" max="44" width="9.85546875" style="86" customWidth="1"/>
    <col min="45" max="45" width="40" style="86" customWidth="1"/>
    <col min="46" max="48" width="13.5703125" style="86" customWidth="1"/>
    <col min="49" max="49" width="11.5703125" style="86" customWidth="1"/>
    <col min="50" max="50" width="9.7109375" style="86" customWidth="1"/>
    <col min="51" max="51" width="23.28515625" style="86" bestFit="1" customWidth="1"/>
    <col min="52" max="52" width="18.42578125" style="86" customWidth="1"/>
    <col min="53" max="53" width="10.7109375" style="86" bestFit="1" customWidth="1"/>
    <col min="54" max="55" width="9.28515625" style="86" hidden="1" customWidth="1" outlineLevel="1"/>
    <col min="56" max="56" width="10.285156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40625" style="86" hidden="1" customWidth="1" outlineLevel="1"/>
    <col min="61" max="61" width="11.7109375" style="86" hidden="1" customWidth="1" outlineLevel="1"/>
    <col min="62" max="86" width="9.140625" style="86" hidden="1" customWidth="1" outlineLevel="1"/>
    <col min="87" max="88" width="18.5703125" style="86" hidden="1" customWidth="1" outlineLevel="1"/>
    <col min="89" max="89" width="13.85546875" style="86" hidden="1" customWidth="1" outlineLevel="1"/>
    <col min="90" max="90" width="3.28515625" style="86" customWidth="1" collapsed="1"/>
    <col min="91" max="100" width="11.140625" style="86" hidden="1" customWidth="1" outlineLevel="1"/>
    <col min="101" max="110" width="9.140625" style="86" hidden="1" customWidth="1" outlineLevel="1"/>
    <col min="111" max="111" width="11.85546875" style="86" hidden="1" customWidth="1" outlineLevel="1"/>
    <col min="112" max="122" width="9.140625" style="86" hidden="1" customWidth="1" outlineLevel="1"/>
    <col min="123" max="123" width="3.28515625" style="86" customWidth="1" collapsed="1"/>
    <col min="124" max="157" width="9.140625" style="86" hidden="1" customWidth="1" outlineLevel="1"/>
    <col min="158" max="158" width="9" style="86" hidden="1" customWidth="1" outlineLevel="1"/>
    <col min="159" max="159" width="3.42578125" style="86" customWidth="1" collapsed="1"/>
    <col min="160" max="160" width="13.28515625" style="172" customWidth="1"/>
    <col min="161" max="16384" width="9.140625" style="86"/>
  </cols>
  <sheetData>
    <row r="1" spans="1:160" ht="26.25" customHeight="1" x14ac:dyDescent="0.2">
      <c r="S1" s="181"/>
      <c r="T1" s="181"/>
      <c r="U1" s="181"/>
      <c r="V1" s="181"/>
      <c r="AT1" s="468" t="s">
        <v>99</v>
      </c>
      <c r="AU1" s="468"/>
      <c r="AV1" s="468"/>
      <c r="AW1" s="468"/>
      <c r="AX1" s="468"/>
      <c r="AY1" s="468"/>
      <c r="AZ1" s="468"/>
      <c r="BA1" s="468"/>
      <c r="BB1" s="80">
        <v>1</v>
      </c>
      <c r="BC1" s="80">
        <v>1</v>
      </c>
      <c r="BD1" s="82" t="s">
        <v>123</v>
      </c>
      <c r="BE1" s="82" t="s">
        <v>123</v>
      </c>
      <c r="BF1" s="82" t="s">
        <v>122</v>
      </c>
      <c r="BG1" s="82" t="s">
        <v>121</v>
      </c>
      <c r="BH1" s="82" t="s">
        <v>121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120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123</v>
      </c>
      <c r="CD1" s="82" t="s">
        <v>123</v>
      </c>
      <c r="CE1" s="82" t="s">
        <v>123</v>
      </c>
      <c r="CF1" s="82" t="s">
        <v>123</v>
      </c>
      <c r="CG1" s="82" t="s">
        <v>123</v>
      </c>
      <c r="CH1" s="82" t="s">
        <v>123</v>
      </c>
      <c r="CI1" s="140" t="s">
        <v>180</v>
      </c>
      <c r="CJ1" s="140" t="s">
        <v>180</v>
      </c>
      <c r="CK1" s="158" t="s">
        <v>219</v>
      </c>
      <c r="CL1" s="158"/>
      <c r="CM1" s="464" t="s">
        <v>243</v>
      </c>
      <c r="CN1" s="464"/>
      <c r="CO1" s="464"/>
      <c r="CP1" s="464"/>
      <c r="CQ1" s="464"/>
      <c r="CR1" s="464"/>
      <c r="CS1" s="464"/>
      <c r="CT1" s="464"/>
      <c r="CU1" s="464"/>
      <c r="CV1" s="464"/>
      <c r="CW1" s="464"/>
      <c r="CX1" s="464"/>
      <c r="CY1" s="464"/>
      <c r="CZ1" s="464"/>
      <c r="DA1" s="464"/>
      <c r="DB1" s="464"/>
      <c r="DC1" s="464"/>
      <c r="DD1" s="464"/>
      <c r="DE1" s="464"/>
      <c r="DF1" s="464"/>
      <c r="DG1" s="464"/>
      <c r="DH1" s="464"/>
      <c r="DI1" s="464"/>
      <c r="DJ1" s="464"/>
      <c r="DK1" s="464"/>
      <c r="DL1" s="464"/>
      <c r="DM1" s="464"/>
      <c r="DN1" s="464"/>
      <c r="DO1" s="464"/>
      <c r="DP1" s="464"/>
      <c r="DQ1" s="464"/>
      <c r="DR1" s="464"/>
      <c r="DS1" s="158"/>
      <c r="DT1" s="464" t="s">
        <v>262</v>
      </c>
      <c r="DU1" s="464"/>
      <c r="DV1" s="464"/>
      <c r="DW1" s="464"/>
      <c r="DX1" s="464"/>
      <c r="DY1" s="464"/>
      <c r="DZ1" s="464"/>
      <c r="EA1" s="464"/>
      <c r="EB1" s="464"/>
      <c r="EC1" s="464"/>
      <c r="ED1" s="464"/>
      <c r="EE1" s="464"/>
      <c r="EF1" s="464"/>
      <c r="EG1" s="464"/>
      <c r="EH1" s="464"/>
      <c r="EI1" s="464"/>
      <c r="EJ1" s="464"/>
      <c r="EK1" s="464"/>
      <c r="EL1" s="464"/>
      <c r="EM1" s="464"/>
      <c r="EN1" s="464"/>
      <c r="EO1" s="464"/>
      <c r="EP1" s="464"/>
      <c r="EQ1" s="464"/>
      <c r="ER1" s="464"/>
      <c r="ES1" s="464"/>
      <c r="ET1" s="464"/>
      <c r="EU1" s="464"/>
      <c r="EV1" s="464"/>
      <c r="EW1" s="464"/>
      <c r="EX1" s="464"/>
      <c r="EY1" s="464"/>
      <c r="EZ1" s="464"/>
      <c r="FA1" s="464"/>
      <c r="FB1" s="464"/>
      <c r="FD1" s="461" t="s">
        <v>453</v>
      </c>
    </row>
    <row r="2" spans="1:160" ht="12.75" customHeight="1" x14ac:dyDescent="0.2">
      <c r="B2" s="201" t="s">
        <v>617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22</v>
      </c>
      <c r="AH2" s="182"/>
      <c r="AI2" s="182"/>
      <c r="AJ2" s="183"/>
      <c r="AK2" s="184" t="s">
        <v>20</v>
      </c>
      <c r="AL2" s="418">
        <v>3</v>
      </c>
      <c r="AM2" s="159"/>
      <c r="AN2" s="185" t="str">
        <f>mesec($AL$2)</f>
        <v>март</v>
      </c>
      <c r="AO2" s="184" t="str">
        <f>MID(vers,1,4)</f>
        <v>2025</v>
      </c>
      <c r="AP2" s="180"/>
      <c r="AQ2" s="187"/>
      <c r="AR2" s="186" t="s">
        <v>101</v>
      </c>
      <c r="AS2" s="186"/>
      <c r="AT2" s="465" t="s">
        <v>433</v>
      </c>
      <c r="AU2" s="465" t="s">
        <v>221</v>
      </c>
      <c r="AV2" s="466" t="s">
        <v>550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6" t="s">
        <v>557</v>
      </c>
      <c r="BC2" s="465" t="s">
        <v>87</v>
      </c>
      <c r="BD2" s="466" t="s">
        <v>551</v>
      </c>
      <c r="BE2" s="466" t="s">
        <v>552</v>
      </c>
      <c r="BF2" s="466" t="s">
        <v>553</v>
      </c>
      <c r="BG2" s="465" t="s">
        <v>88</v>
      </c>
      <c r="BH2" s="465" t="s">
        <v>267</v>
      </c>
      <c r="BI2" s="466" t="s">
        <v>558</v>
      </c>
      <c r="BJ2" s="465" t="s">
        <v>89</v>
      </c>
      <c r="BK2" s="466" t="s">
        <v>559</v>
      </c>
      <c r="BL2" s="465" t="s">
        <v>436</v>
      </c>
      <c r="BM2" s="466" t="s">
        <v>560</v>
      </c>
      <c r="BN2" s="465" t="s">
        <v>90</v>
      </c>
      <c r="BO2" s="466" t="s">
        <v>561</v>
      </c>
      <c r="BP2" s="465" t="s">
        <v>437</v>
      </c>
      <c r="BQ2" s="465" t="s">
        <v>91</v>
      </c>
      <c r="BR2" s="465" t="s">
        <v>124</v>
      </c>
      <c r="BS2" s="465"/>
      <c r="BT2" s="465"/>
      <c r="BU2" s="466" t="s">
        <v>562</v>
      </c>
      <c r="BV2" s="465" t="s">
        <v>125</v>
      </c>
      <c r="BW2" s="466" t="s">
        <v>563</v>
      </c>
      <c r="BX2" s="465" t="s">
        <v>126</v>
      </c>
      <c r="BY2" s="466" t="s">
        <v>564</v>
      </c>
      <c r="BZ2" s="465" t="s">
        <v>275</v>
      </c>
      <c r="CA2" s="466" t="s">
        <v>565</v>
      </c>
      <c r="CB2" s="465" t="s">
        <v>391</v>
      </c>
      <c r="CC2" s="466" t="s">
        <v>566</v>
      </c>
      <c r="CD2" s="465" t="s">
        <v>139</v>
      </c>
      <c r="CE2" s="466" t="s">
        <v>567</v>
      </c>
      <c r="CF2" s="465" t="s">
        <v>138</v>
      </c>
      <c r="CG2" s="466" t="s">
        <v>568</v>
      </c>
      <c r="CH2" s="465" t="s">
        <v>276</v>
      </c>
      <c r="CI2" s="488" t="s">
        <v>608</v>
      </c>
      <c r="CJ2" s="461" t="s">
        <v>266</v>
      </c>
      <c r="CK2" s="461" t="s">
        <v>220</v>
      </c>
      <c r="CL2" s="469" t="s">
        <v>263</v>
      </c>
      <c r="CM2" s="329">
        <f>Рекапитулация!B4</f>
        <v>0.13719999999999999</v>
      </c>
      <c r="CN2" s="210">
        <f>Рекапитулация!B5</f>
        <v>0.10920000000000001</v>
      </c>
      <c r="CO2" s="210">
        <f>Рекапитулация!B6</f>
        <v>0.13719999999999999</v>
      </c>
      <c r="CP2" s="210">
        <f>Рекапитулация!B7</f>
        <v>0.10920000000000001</v>
      </c>
      <c r="CQ2" s="210">
        <f>Рекапитулация!B8</f>
        <v>0.16719999999999999</v>
      </c>
      <c r="CR2" s="210">
        <f>Рекапитулация!B9</f>
        <v>0.13919999999999999</v>
      </c>
      <c r="CS2" s="210">
        <f>Рекапитулация!B10</f>
        <v>0.16719999999999999</v>
      </c>
      <c r="CT2" s="210">
        <f>Рекапитулация!B11</f>
        <v>0.13919999999999999</v>
      </c>
      <c r="CU2" s="210">
        <f>Рекапитулация!B12</f>
        <v>0.13719999999999999</v>
      </c>
      <c r="CV2" s="210">
        <f>Рекапитулация!B13</f>
        <v>0.10920000000000001</v>
      </c>
      <c r="CW2" s="210">
        <f>Рекапитулация!B16</f>
        <v>0.11020000000000001</v>
      </c>
      <c r="CX2" s="210">
        <f>Рекапитулация!B17</f>
        <v>8.2199999999999995E-2</v>
      </c>
      <c r="CY2" s="210">
        <f>Рекапитулация!B18</f>
        <v>0.16719999999999999</v>
      </c>
      <c r="CZ2" s="210">
        <f>Рекапитулация!B19</f>
        <v>0.13919999999999999</v>
      </c>
      <c r="DA2" s="210">
        <f>Рекапитулация!B20</f>
        <v>0.16719999999999999</v>
      </c>
      <c r="DB2" s="210">
        <f>Рекапитулация!B21</f>
        <v>0.13919999999999999</v>
      </c>
      <c r="DC2" s="210">
        <f>Рекапитулация!B14</f>
        <v>0.13719999999999999</v>
      </c>
      <c r="DD2" s="210">
        <f>Рекапитулация!B15</f>
        <v>0.10920000000000001</v>
      </c>
      <c r="DE2" s="210">
        <f>Рекапитулация!B22</f>
        <v>0.11020000000000001</v>
      </c>
      <c r="DF2" s="210">
        <f>Рекапитулация!B23</f>
        <v>8.2199999999999995E-2</v>
      </c>
      <c r="DG2" s="210">
        <f>Рекапитулация!B24</f>
        <v>5.0000000000000001E-3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69" t="s">
        <v>264</v>
      </c>
      <c r="DT2" s="210">
        <f>Рекапитулация!B38</f>
        <v>0.10580000000000001</v>
      </c>
      <c r="DU2" s="210">
        <f>Рекапитулация!B39</f>
        <v>8.3799999999999999E-2</v>
      </c>
      <c r="DV2" s="210">
        <f>Рекапитулация!B40</f>
        <v>0.10580000000000001</v>
      </c>
      <c r="DW2" s="210">
        <f>Рекапитулация!$B41</f>
        <v>8.3799999999999999E-2</v>
      </c>
      <c r="DX2" s="192">
        <f>Рекапитулация!$B42</f>
        <v>0.10580000000000001</v>
      </c>
      <c r="DY2" s="192">
        <f>Рекапитулация!$B43</f>
        <v>8.3799999999999999E-2</v>
      </c>
      <c r="DZ2" s="192">
        <f>Рекапитулация!$B44</f>
        <v>0.10580000000000001</v>
      </c>
      <c r="EA2" s="192">
        <f>Рекапитулация!$B45</f>
        <v>8.3799999999999999E-2</v>
      </c>
      <c r="EB2" s="192">
        <f>Рекапитулация!B46</f>
        <v>0.10580000000000001</v>
      </c>
      <c r="EC2" s="192">
        <f>Рекапитулация!B47</f>
        <v>8.3799999999999999E-2</v>
      </c>
      <c r="ED2" s="192">
        <f>Рекапитулация!$B50</f>
        <v>8.7800000000000003E-2</v>
      </c>
      <c r="EE2" s="192">
        <f>Рекапитулация!$B51</f>
        <v>6.5799999999999997E-2</v>
      </c>
      <c r="EF2" s="210">
        <f>Рекапитулация!B52</f>
        <v>0.10580000000000001</v>
      </c>
      <c r="EG2" s="210">
        <f>Рекапитулация!B53</f>
        <v>8.3799999999999999E-2</v>
      </c>
      <c r="EH2" s="210">
        <f>Рекапитулация!B54</f>
        <v>0.10580000000000001</v>
      </c>
      <c r="EI2" s="210">
        <f>Рекапитулация!B55</f>
        <v>8.3799999999999999E-2</v>
      </c>
      <c r="EJ2" s="210">
        <f>Рекапитулация!B48</f>
        <v>0.10580000000000001</v>
      </c>
      <c r="EK2" s="210">
        <f>Рекапитулация!B49</f>
        <v>8.3799999999999999E-2</v>
      </c>
      <c r="EL2" s="192">
        <f>Рекапитулация!B56</f>
        <v>8.7800000000000003E-2</v>
      </c>
      <c r="EM2" s="192">
        <f>Рекапитулация!B57</f>
        <v>6.5799999999999997E-2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0.23300000000000001</v>
      </c>
      <c r="EQ2" s="192">
        <f>Рекапитулация!$B61</f>
        <v>0.183</v>
      </c>
      <c r="ER2" s="192">
        <f>Рекапитулация!B62</f>
        <v>0.23300000000000001</v>
      </c>
      <c r="ES2" s="192">
        <f>Рекапитулация!B63</f>
        <v>0.183</v>
      </c>
      <c r="ET2" s="192">
        <f>Рекапитулация!$B64</f>
        <v>0.19800000000000001</v>
      </c>
      <c r="EU2" s="192">
        <f>Рекапитулация!$B65</f>
        <v>0.14799999999999999</v>
      </c>
      <c r="EV2" s="192">
        <f>Рекапитулация!B66</f>
        <v>0.19800000000000001</v>
      </c>
      <c r="EW2" s="192">
        <f>Рекапитулация!B67</f>
        <v>0.14799999999999999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87" t="s">
        <v>265</v>
      </c>
      <c r="FD2" s="462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1"/>
      <c r="CJ3" s="461"/>
      <c r="CK3" s="461"/>
      <c r="CL3" s="469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69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87"/>
      <c r="FD3" s="462"/>
    </row>
    <row r="4" spans="1:160" s="171" customFormat="1" ht="23.25" customHeight="1" x14ac:dyDescent="0.2">
      <c r="A4" s="471" t="s">
        <v>0</v>
      </c>
      <c r="B4" s="474" t="s">
        <v>302</v>
      </c>
      <c r="C4" s="470" t="s">
        <v>43</v>
      </c>
      <c r="D4" s="470" t="s">
        <v>45</v>
      </c>
      <c r="E4" s="470" t="s">
        <v>1</v>
      </c>
      <c r="F4" s="470" t="s">
        <v>452</v>
      </c>
      <c r="G4" s="477" t="s">
        <v>5</v>
      </c>
      <c r="H4" s="470" t="s">
        <v>106</v>
      </c>
      <c r="I4" s="476" t="s">
        <v>271</v>
      </c>
      <c r="J4" s="470" t="s">
        <v>52</v>
      </c>
      <c r="K4" s="470" t="s">
        <v>60</v>
      </c>
      <c r="L4" s="470" t="s">
        <v>104</v>
      </c>
      <c r="M4" s="477" t="s">
        <v>49</v>
      </c>
      <c r="N4" s="470" t="s">
        <v>39</v>
      </c>
      <c r="O4" s="470"/>
      <c r="P4" s="470" t="s">
        <v>46</v>
      </c>
      <c r="Q4" s="470" t="s">
        <v>291</v>
      </c>
      <c r="R4" s="470" t="s">
        <v>292</v>
      </c>
      <c r="S4" s="483" t="s">
        <v>144</v>
      </c>
      <c r="T4" s="484"/>
      <c r="U4" s="463" t="s">
        <v>290</v>
      </c>
      <c r="V4" s="470" t="s">
        <v>42</v>
      </c>
      <c r="W4" s="479" t="s">
        <v>188</v>
      </c>
      <c r="X4" s="479" t="s">
        <v>187</v>
      </c>
      <c r="Y4" s="470" t="s">
        <v>289</v>
      </c>
      <c r="Z4" s="470" t="s">
        <v>51</v>
      </c>
      <c r="AA4" s="470" t="s">
        <v>30</v>
      </c>
      <c r="AB4" s="419" t="s">
        <v>40</v>
      </c>
      <c r="AC4" s="420"/>
      <c r="AD4" s="420"/>
      <c r="AE4" s="420"/>
      <c r="AF4" s="420"/>
      <c r="AG4" s="421"/>
      <c r="AH4" s="477" t="s">
        <v>293</v>
      </c>
      <c r="AI4" s="477" t="s">
        <v>430</v>
      </c>
      <c r="AJ4" s="477" t="s">
        <v>41</v>
      </c>
      <c r="AK4" s="470" t="s">
        <v>2</v>
      </c>
      <c r="AL4" s="470" t="s">
        <v>3</v>
      </c>
      <c r="AM4" s="470" t="s">
        <v>455</v>
      </c>
      <c r="AN4" s="470" t="s">
        <v>4</v>
      </c>
      <c r="AO4" s="470" t="s">
        <v>48</v>
      </c>
      <c r="AP4" s="470" t="s">
        <v>47</v>
      </c>
      <c r="AQ4" s="470" t="s">
        <v>50</v>
      </c>
      <c r="AR4" s="470" t="s">
        <v>105</v>
      </c>
      <c r="AS4" s="470" t="s">
        <v>456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1"/>
      <c r="CJ4" s="461"/>
      <c r="CK4" s="461"/>
      <c r="CL4" s="469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69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87"/>
      <c r="FD4" s="462"/>
    </row>
    <row r="5" spans="1:160" s="172" customFormat="1" ht="113.25" customHeight="1" x14ac:dyDescent="0.2">
      <c r="A5" s="472"/>
      <c r="B5" s="474"/>
      <c r="C5" s="470"/>
      <c r="D5" s="470"/>
      <c r="E5" s="470"/>
      <c r="F5" s="470"/>
      <c r="G5" s="478"/>
      <c r="H5" s="470"/>
      <c r="I5" s="470"/>
      <c r="J5" s="470"/>
      <c r="K5" s="470"/>
      <c r="L5" s="470"/>
      <c r="M5" s="478"/>
      <c r="N5" s="470"/>
      <c r="O5" s="470"/>
      <c r="P5" s="470"/>
      <c r="Q5" s="470"/>
      <c r="R5" s="470"/>
      <c r="S5" s="485"/>
      <c r="T5" s="486"/>
      <c r="U5" s="463"/>
      <c r="V5" s="470"/>
      <c r="W5" s="480"/>
      <c r="X5" s="480"/>
      <c r="Y5" s="470"/>
      <c r="Z5" s="470"/>
      <c r="AA5" s="470"/>
      <c r="AB5" s="470" t="str">
        <f>CONCATENATE("Фондове ДОО","
",
(Систем!D6)*100,"%","  /  ",(Систем!E6)*100,"%")</f>
        <v>Фондове ДОО
10,58%  /  8,38%</v>
      </c>
      <c r="AC5" s="476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76"/>
      <c r="AE5" s="476" t="s">
        <v>554</v>
      </c>
      <c r="AF5" s="470" t="str">
        <f>CONCATENATE("Здравно осигуряване","
",Систем!D11*100,"%","  /  ",Систем!F11*100,"%")</f>
        <v>Здравно осигуряване
3,2%  /  8%</v>
      </c>
      <c r="AG5" s="470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8"/>
      <c r="AI5" s="478"/>
      <c r="AJ5" s="478"/>
      <c r="AK5" s="470"/>
      <c r="AL5" s="470"/>
      <c r="AM5" s="470"/>
      <c r="AN5" s="470"/>
      <c r="AO5" s="470"/>
      <c r="AP5" s="470"/>
      <c r="AQ5" s="470"/>
      <c r="AR5" s="470"/>
      <c r="AS5" s="470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1"/>
      <c r="CJ5" s="461"/>
      <c r="CK5" s="461"/>
      <c r="CL5" s="469"/>
      <c r="CM5" s="467" t="s">
        <v>222</v>
      </c>
      <c r="CN5" s="467" t="s">
        <v>223</v>
      </c>
      <c r="CO5" s="467" t="s">
        <v>224</v>
      </c>
      <c r="CP5" s="467" t="s">
        <v>225</v>
      </c>
      <c r="CQ5" s="467" t="s">
        <v>226</v>
      </c>
      <c r="CR5" s="467" t="s">
        <v>227</v>
      </c>
      <c r="CS5" s="467" t="s">
        <v>228</v>
      </c>
      <c r="CT5" s="467" t="s">
        <v>229</v>
      </c>
      <c r="CU5" s="467" t="s">
        <v>279</v>
      </c>
      <c r="CV5" s="467" t="s">
        <v>280</v>
      </c>
      <c r="CW5" s="467" t="s">
        <v>230</v>
      </c>
      <c r="CX5" s="467" t="s">
        <v>231</v>
      </c>
      <c r="CY5" s="467" t="s">
        <v>232</v>
      </c>
      <c r="CZ5" s="467" t="s">
        <v>233</v>
      </c>
      <c r="DA5" s="467" t="s">
        <v>234</v>
      </c>
      <c r="DB5" s="467" t="s">
        <v>235</v>
      </c>
      <c r="DC5" s="467" t="s">
        <v>277</v>
      </c>
      <c r="DD5" s="467" t="s">
        <v>278</v>
      </c>
      <c r="DE5" s="467" t="s">
        <v>392</v>
      </c>
      <c r="DF5" s="467" t="s">
        <v>393</v>
      </c>
      <c r="DG5" s="467" t="s">
        <v>281</v>
      </c>
      <c r="DH5" s="467" t="s">
        <v>236</v>
      </c>
      <c r="DI5" s="467" t="s">
        <v>396</v>
      </c>
      <c r="DJ5" s="467" t="s">
        <v>282</v>
      </c>
      <c r="DK5" s="467" t="s">
        <v>237</v>
      </c>
      <c r="DL5" s="467" t="s">
        <v>238</v>
      </c>
      <c r="DM5" s="467" t="s">
        <v>239</v>
      </c>
      <c r="DN5" s="467" t="s">
        <v>288</v>
      </c>
      <c r="DO5" s="467" t="s">
        <v>240</v>
      </c>
      <c r="DP5" s="467" t="s">
        <v>241</v>
      </c>
      <c r="DQ5" s="467" t="s">
        <v>270</v>
      </c>
      <c r="DR5" s="467" t="s">
        <v>242</v>
      </c>
      <c r="DS5" s="469"/>
      <c r="DT5" s="467" t="s">
        <v>244</v>
      </c>
      <c r="DU5" s="467" t="s">
        <v>245</v>
      </c>
      <c r="DV5" s="467" t="s">
        <v>246</v>
      </c>
      <c r="DW5" s="467" t="s">
        <v>247</v>
      </c>
      <c r="DX5" s="467" t="s">
        <v>248</v>
      </c>
      <c r="DY5" s="467" t="s">
        <v>249</v>
      </c>
      <c r="DZ5" s="467" t="s">
        <v>250</v>
      </c>
      <c r="EA5" s="467" t="s">
        <v>251</v>
      </c>
      <c r="EB5" s="467" t="s">
        <v>285</v>
      </c>
      <c r="EC5" s="467" t="s">
        <v>286</v>
      </c>
      <c r="ED5" s="467" t="s">
        <v>230</v>
      </c>
      <c r="EE5" s="467" t="s">
        <v>231</v>
      </c>
      <c r="EF5" s="467" t="s">
        <v>252</v>
      </c>
      <c r="EG5" s="467" t="s">
        <v>253</v>
      </c>
      <c r="EH5" s="467" t="s">
        <v>254</v>
      </c>
      <c r="EI5" s="467" t="s">
        <v>255</v>
      </c>
      <c r="EJ5" s="467" t="s">
        <v>283</v>
      </c>
      <c r="EK5" s="467" t="s">
        <v>284</v>
      </c>
      <c r="EL5" s="467" t="s">
        <v>394</v>
      </c>
      <c r="EM5" s="467" t="s">
        <v>395</v>
      </c>
      <c r="EN5" s="467" t="s">
        <v>396</v>
      </c>
      <c r="EO5" s="467" t="s">
        <v>282</v>
      </c>
      <c r="EP5" s="467" t="s">
        <v>256</v>
      </c>
      <c r="EQ5" s="467" t="s">
        <v>257</v>
      </c>
      <c r="ER5" s="467" t="s">
        <v>434</v>
      </c>
      <c r="ES5" s="467" t="s">
        <v>435</v>
      </c>
      <c r="ET5" s="467" t="s">
        <v>258</v>
      </c>
      <c r="EU5" s="467" t="s">
        <v>259</v>
      </c>
      <c r="EV5" s="467" t="s">
        <v>439</v>
      </c>
      <c r="EW5" s="467" t="s">
        <v>440</v>
      </c>
      <c r="EX5" s="467" t="s">
        <v>438</v>
      </c>
      <c r="EY5" s="467" t="s">
        <v>239</v>
      </c>
      <c r="EZ5" s="467" t="s">
        <v>288</v>
      </c>
      <c r="FA5" s="467" t="s">
        <v>260</v>
      </c>
      <c r="FB5" s="467" t="s">
        <v>261</v>
      </c>
      <c r="FC5" s="487"/>
      <c r="FD5" s="462"/>
    </row>
    <row r="6" spans="1:160" ht="27.75" customHeight="1" x14ac:dyDescent="0.2">
      <c r="A6" s="473"/>
      <c r="B6" s="474"/>
      <c r="C6" s="470"/>
      <c r="D6" s="470"/>
      <c r="E6" s="470"/>
      <c r="F6" s="470"/>
      <c r="G6" s="167" t="s">
        <v>294</v>
      </c>
      <c r="H6" s="470"/>
      <c r="I6" s="470"/>
      <c r="J6" s="470"/>
      <c r="K6" s="470"/>
      <c r="L6" s="470"/>
      <c r="M6" s="482"/>
      <c r="N6" s="189" t="s">
        <v>37</v>
      </c>
      <c r="O6" s="190" t="s">
        <v>44</v>
      </c>
      <c r="P6" s="470"/>
      <c r="Q6" s="470"/>
      <c r="R6" s="470"/>
      <c r="S6" s="189" t="s">
        <v>37</v>
      </c>
      <c r="T6" s="190" t="s">
        <v>44</v>
      </c>
      <c r="U6" s="463"/>
      <c r="V6" s="470"/>
      <c r="W6" s="481"/>
      <c r="X6" s="481"/>
      <c r="Y6" s="470"/>
      <c r="Z6" s="470"/>
      <c r="AA6" s="470"/>
      <c r="AB6" s="470"/>
      <c r="AC6" s="470"/>
      <c r="AD6" s="470"/>
      <c r="AE6" s="470"/>
      <c r="AF6" s="470"/>
      <c r="AG6" s="470"/>
      <c r="AH6" s="482"/>
      <c r="AI6" s="482"/>
      <c r="AJ6" s="482"/>
      <c r="AK6" s="470"/>
      <c r="AL6" s="470"/>
      <c r="AM6" s="470"/>
      <c r="AN6" s="470"/>
      <c r="AO6" s="470"/>
      <c r="AP6" s="470"/>
      <c r="AQ6" s="470"/>
      <c r="AR6" s="470"/>
      <c r="AS6" s="470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1"/>
      <c r="CJ6" s="461"/>
      <c r="CK6" s="461"/>
      <c r="CL6" s="469"/>
      <c r="CM6" s="467"/>
      <c r="CN6" s="467"/>
      <c r="CO6" s="467"/>
      <c r="CP6" s="467"/>
      <c r="CQ6" s="467"/>
      <c r="CR6" s="467"/>
      <c r="CS6" s="467"/>
      <c r="CT6" s="467"/>
      <c r="CU6" s="467"/>
      <c r="CV6" s="467"/>
      <c r="CW6" s="467"/>
      <c r="CX6" s="467"/>
      <c r="CY6" s="467"/>
      <c r="CZ6" s="467"/>
      <c r="DA6" s="467"/>
      <c r="DB6" s="467"/>
      <c r="DC6" s="467"/>
      <c r="DD6" s="467"/>
      <c r="DE6" s="467"/>
      <c r="DF6" s="467"/>
      <c r="DG6" s="467"/>
      <c r="DH6" s="467"/>
      <c r="DI6" s="467"/>
      <c r="DJ6" s="467"/>
      <c r="DK6" s="467"/>
      <c r="DL6" s="467"/>
      <c r="DM6" s="467"/>
      <c r="DN6" s="467"/>
      <c r="DO6" s="467"/>
      <c r="DP6" s="467"/>
      <c r="DQ6" s="467"/>
      <c r="DR6" s="467"/>
      <c r="DS6" s="469"/>
      <c r="DT6" s="467"/>
      <c r="DU6" s="467"/>
      <c r="DV6" s="467"/>
      <c r="DW6" s="467"/>
      <c r="DX6" s="467"/>
      <c r="DY6" s="467"/>
      <c r="DZ6" s="467"/>
      <c r="EA6" s="467"/>
      <c r="EB6" s="467"/>
      <c r="EC6" s="467"/>
      <c r="ED6" s="467"/>
      <c r="EE6" s="467"/>
      <c r="EF6" s="467"/>
      <c r="EG6" s="467"/>
      <c r="EH6" s="467"/>
      <c r="EI6" s="467"/>
      <c r="EJ6" s="467"/>
      <c r="EK6" s="467"/>
      <c r="EL6" s="467"/>
      <c r="EM6" s="467"/>
      <c r="EN6" s="467"/>
      <c r="EO6" s="467"/>
      <c r="EP6" s="467"/>
      <c r="EQ6" s="467"/>
      <c r="ER6" s="467"/>
      <c r="ES6" s="467"/>
      <c r="ET6" s="467"/>
      <c r="EU6" s="467"/>
      <c r="EV6" s="467"/>
      <c r="EW6" s="467"/>
      <c r="EX6" s="467"/>
      <c r="EY6" s="467"/>
      <c r="EZ6" s="467"/>
      <c r="FA6" s="467"/>
      <c r="FB6" s="467"/>
      <c r="FC6" s="487"/>
      <c r="FD6" s="462"/>
    </row>
    <row r="7" spans="1:160" x14ac:dyDescent="0.2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1"/>
      <c r="CJ7" s="461"/>
      <c r="CK7" s="461"/>
      <c r="CL7" s="469"/>
      <c r="CM7" s="467"/>
      <c r="CN7" s="467"/>
      <c r="CO7" s="467"/>
      <c r="CP7" s="467"/>
      <c r="CQ7" s="467"/>
      <c r="CR7" s="467"/>
      <c r="CS7" s="467"/>
      <c r="CT7" s="467"/>
      <c r="CU7" s="467"/>
      <c r="CV7" s="467"/>
      <c r="CW7" s="467"/>
      <c r="CX7" s="467"/>
      <c r="CY7" s="467"/>
      <c r="CZ7" s="467"/>
      <c r="DA7" s="467"/>
      <c r="DB7" s="467"/>
      <c r="DC7" s="467"/>
      <c r="DD7" s="467"/>
      <c r="DE7" s="467"/>
      <c r="DF7" s="467"/>
      <c r="DG7" s="467"/>
      <c r="DH7" s="467"/>
      <c r="DI7" s="467"/>
      <c r="DJ7" s="467"/>
      <c r="DK7" s="467"/>
      <c r="DL7" s="467"/>
      <c r="DM7" s="467"/>
      <c r="DN7" s="467"/>
      <c r="DO7" s="467"/>
      <c r="DP7" s="467"/>
      <c r="DQ7" s="467"/>
      <c r="DR7" s="467"/>
      <c r="DS7" s="469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87"/>
      <c r="FD7" s="462"/>
    </row>
    <row r="8" spans="1:160" s="264" customFormat="1" ht="20.100000000000001" customHeight="1" x14ac:dyDescent="0.25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/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IF(C8=5,IF(D8&lt;1960,AA8*Систем!$L$7,AA8*Систем!$M$7),"!!!")))))),2)</f>
        <v>0</v>
      </c>
      <c r="AC8" s="253">
        <f>ROUND(IF(OR(C8=1,C8=5,C8=6,C8=7,C8=8),IF(D8&lt;1960,P8*Систем!$D$6,P8*Систем!$E$6),IF(OR(C8=2,C8=3,C8=4,C8=9),0,"!!")),2)</f>
        <v>0</v>
      </c>
      <c r="AD8" s="422"/>
      <c r="AE8" s="422" t="s">
        <v>107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107</v>
      </c>
      <c r="AU8" s="258" t="s">
        <v>107</v>
      </c>
      <c r="AV8" s="258">
        <v>0</v>
      </c>
      <c r="AW8" s="258" t="s">
        <v>107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IF(OR(C8=3,C8=4),0,IF(AND(C8=2,AT8="да"),IF((Систем!$D$16/$AG$2*W8+BC8+BB8+BY8+BZ8)&gt;maxod,maxod-BC8-BB8-BY8-BZ8,Систем!$D$16/$AG$2*W8),IF((Систем!$D$14/$AG$2*W8+BC8+BB8+BY8+BZ8)&gt;maxod,maxod-BC8-BB8-BY8-BZ8,Систем!$D$14/$AG$2*W8)))</f>
        <v>0</v>
      </c>
      <c r="CJ8" s="260">
        <f>IF(OR(C8=3,C8=4),0,IF(AND(C8=2,AT8="да"),IF((Систем!$D$16/$AG$2*X8+BC8+BB8+BY8+BZ8)&gt;maxod,maxod-BC8-BB8-BY8-BZ8,Систем!$D$16/$AG$2*X8),IF((Систем!$D$14/$AG$2*X8+BC8+BB8+BY8+BZ8)&gt;maxod,maxod-BC8-BB8-BY8-BZ8,Систем!$D$14/$AG$2*X8)))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>
        <v>8607040526</v>
      </c>
    </row>
    <row r="9" spans="1:160" s="264" customFormat="1" ht="20.100000000000001" customHeight="1" x14ac:dyDescent="0.25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/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IF(C9=5,IF(D9&lt;1960,AA9*Систем!$L$7,AA9*Систем!$M$7),"!!!")))))),2)</f>
        <v>0</v>
      </c>
      <c r="AC9" s="253">
        <f>ROUND(IF(OR(C9=1,C9=5,C9=6,C9=7,C9=8),IF(D9&lt;1960,P9*Систем!$D$6,P9*Систем!$E$6),IF(OR(C9=2,C9=3,C9=4,C9=9),0,"!!")),2)</f>
        <v>0</v>
      </c>
      <c r="AD9" s="422"/>
      <c r="AE9" s="422" t="s">
        <v>107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107</v>
      </c>
      <c r="AU9" s="258" t="s">
        <v>107</v>
      </c>
      <c r="AV9" s="258">
        <v>0</v>
      </c>
      <c r="AW9" s="258" t="s">
        <v>107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IF(OR(C9=3,C9=4),0,IF(AND(C9=2,AT9="да"),IF((Систем!$D$16/$AG$2*W9+BC9+BB9+BY9+BZ9)&gt;maxod,maxod-BC9-BB9-BY9-BZ9,Систем!$D$16/$AG$2*W9),IF((Систем!$D$14/$AG$2*W9+BC9+BB9+BY9+BZ9)&gt;maxod,maxod-BC9-BB9-BY9-BZ9,Систем!$D$14/$AG$2*W9)))</f>
        <v>0</v>
      </c>
      <c r="CJ9" s="260">
        <f>IF(OR(C9=3,C9=4),0,IF(AND(C9=2,AT9="да"),IF((Систем!$D$16/$AG$2*X9+BC9+BB9+BY9+BZ9)&gt;maxod,maxod-BC9-BB9-BY9-BZ9,Систем!$D$16/$AG$2*X9),IF((Систем!$D$14/$AG$2*X9+BC9+BB9+BY9+BZ9)&gt;maxod,maxod-BC9-BB9-BY9-BZ9,Систем!$D$14/$AG$2*X9)))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25">
      <c r="A10" s="244">
        <v>5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53">
        <f>ROUND(IF(OR(C10=1,C10=6,C10=7,C10=8),IF(V10&gt;maxod,maxod-P10,IF((V10-P10)&lt;(H10/rabdni/8)*K10*(J10+N10+S10),(H10/rabdni/8)*K10*(J10+N10+S10),V10-P10)),IF(OR(C10=2,C10=3,C10=4),V10,IF(C10=5,IF(V10&gt;maxod,maxod-P10,IF((V10-P10)&lt;(H10/rabdni/8)*K10*(J10+S10),(H10/rabdni/8)*K10*(J10+S10),V10-P10)),IF(C10=9,IF(V10&gt;maxod,maxod,V10))))),2)</f>
        <v>0</v>
      </c>
      <c r="AB10" s="270"/>
      <c r="AC10" s="270"/>
      <c r="AD10" s="422" t="s">
        <v>29</v>
      </c>
      <c r="AE10" s="422" t="s">
        <v>107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IF((Систем!$D$16/$AG$2*W10+BC10+BB10+BY10+BZ10)&gt;maxod,maxod-BC10-BB10-BY10-BZ10,Систем!$D$16/$AG$2*W10),IF((Систем!$D$14/$AG$2*W10+BC10+BB10+BY10+BZ10)&gt;maxod,maxod-BC10-BB10-BY10-BZ10,Систем!$D$14/$AG$2*W10)))</f>
        <v>0</v>
      </c>
      <c r="CJ10" s="260">
        <f>IF(OR(C10=3,C10=4),0,IF(AND(C10=2,AT10="да"),IF((Систем!$D$16/$AG$2*X10+BC10+BB10+BY10+BZ10)&gt;maxod,maxod-BC10-BB10-BY10-BZ10,Систем!$D$16/$AG$2*X10),IF((Систем!$D$14/$AG$2*X10+BC10+BB10+BY10+BZ10)&gt;maxod,maxod-BC10-BB10-BY10-BZ10,Систем!$D$14/$AG$2*X10)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431</v>
      </c>
    </row>
    <row r="11" spans="1:160" s="264" customFormat="1" ht="20.100000000000001" customHeight="1" thickBot="1" x14ac:dyDescent="0.3">
      <c r="A11" s="278">
        <f>SUM(A9:A10)</f>
        <v>7</v>
      </c>
      <c r="B11" s="279" t="s">
        <v>539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5" thickTop="1" x14ac:dyDescent="0.2">
      <c r="AO12" s="143"/>
      <c r="AP12" s="143"/>
      <c r="AZ12" s="176"/>
      <c r="BA12" s="176"/>
      <c r="BB12" s="176"/>
      <c r="BC12" s="176"/>
      <c r="BD12" s="172"/>
      <c r="BE12" s="177"/>
    </row>
    <row r="13" spans="1:160" s="432" customFormat="1" ht="15" hidden="1" customHeight="1" x14ac:dyDescent="0.2">
      <c r="C13" s="432">
        <v>1</v>
      </c>
      <c r="D13" s="439" t="b">
        <v>0</v>
      </c>
      <c r="L13" s="433">
        <f>SUMIF(vidosig,$C13,L$8:L$10)</f>
        <v>0</v>
      </c>
      <c r="O13" s="433">
        <f>SUMIF(vidosig,$C13,O$8:O$10)</f>
        <v>0</v>
      </c>
      <c r="P13" s="433">
        <f>SUMIF(vidosig,$C13,P$8:P$10)</f>
        <v>0</v>
      </c>
      <c r="Q13" s="433"/>
      <c r="R13" s="433">
        <f t="shared" ref="R13:R20" si="123">SUMIF(vidosig,$C13,R$8:R$10)</f>
        <v>0</v>
      </c>
      <c r="S13" s="433"/>
      <c r="T13" s="433">
        <f t="shared" ref="T13:V20" si="124">SUMIF(vidosig,$C13,T$8:T$10)</f>
        <v>0</v>
      </c>
      <c r="U13" s="433">
        <f t="shared" si="124"/>
        <v>0</v>
      </c>
      <c r="V13" s="433">
        <f t="shared" si="124"/>
        <v>0</v>
      </c>
      <c r="W13" s="433"/>
      <c r="X13" s="433"/>
      <c r="Y13" s="433">
        <f t="shared" ref="Y13:AD20" si="125">SUMIF(vidosig,$C13,Y$8:Y$10)</f>
        <v>0</v>
      </c>
      <c r="Z13" s="433">
        <f t="shared" si="125"/>
        <v>0</v>
      </c>
      <c r="AA13" s="433">
        <f t="shared" si="125"/>
        <v>0</v>
      </c>
      <c r="AB13" s="433">
        <f t="shared" si="125"/>
        <v>0</v>
      </c>
      <c r="AC13" s="433">
        <f t="shared" si="125"/>
        <v>0</v>
      </c>
      <c r="AD13" s="433">
        <f t="shared" si="125"/>
        <v>0</v>
      </c>
      <c r="AE13" s="433"/>
      <c r="AF13" s="433">
        <f t="shared" ref="AF13:AO20" si="126">SUMIF(vidosig,$C13,AF$8:AF$10)</f>
        <v>0</v>
      </c>
      <c r="AG13" s="433">
        <f t="shared" si="126"/>
        <v>0</v>
      </c>
      <c r="AH13" s="433">
        <f t="shared" si="126"/>
        <v>0</v>
      </c>
      <c r="AI13" s="433">
        <f t="shared" si="126"/>
        <v>0</v>
      </c>
      <c r="AJ13" s="433">
        <f t="shared" si="126"/>
        <v>0</v>
      </c>
      <c r="AK13" s="433">
        <f t="shared" si="126"/>
        <v>0</v>
      </c>
      <c r="AL13" s="433">
        <f t="shared" si="126"/>
        <v>0</v>
      </c>
      <c r="AM13" s="433">
        <f t="shared" si="126"/>
        <v>0</v>
      </c>
      <c r="AN13" s="433">
        <f t="shared" si="126"/>
        <v>0</v>
      </c>
      <c r="AO13" s="433">
        <f t="shared" si="126"/>
        <v>0</v>
      </c>
      <c r="AP13" s="433"/>
      <c r="AQ13" s="433">
        <f t="shared" ref="AQ13:AQ20" si="127">SUMIF(vidosig,$C13,AQ$8:AQ$10)</f>
        <v>0</v>
      </c>
      <c r="AS13" s="434">
        <f>C13</f>
        <v>1</v>
      </c>
      <c r="AZ13" s="435"/>
      <c r="BA13" s="435"/>
      <c r="BB13" s="435"/>
      <c r="BC13" s="435"/>
      <c r="BD13" s="436"/>
      <c r="BE13" s="437"/>
      <c r="FD13" s="436"/>
    </row>
    <row r="14" spans="1:160" s="432" customFormat="1" ht="15" hidden="1" customHeight="1" x14ac:dyDescent="0.2">
      <c r="C14" s="432">
        <v>2</v>
      </c>
      <c r="D14" s="439" t="b">
        <v>0</v>
      </c>
      <c r="L14" s="433">
        <f t="shared" ref="L14:L20" si="128">SUMIF(vidosig,C14,$L$8:$L$10)</f>
        <v>0</v>
      </c>
      <c r="O14" s="433">
        <f t="shared" ref="O14:O20" si="129">SUMIF(vidosig,C14,O$8:O$10)</f>
        <v>0</v>
      </c>
      <c r="P14" s="433">
        <f t="shared" ref="P14:P20" si="130">SUMIF(vidosig,$C14,P$8:P$10)</f>
        <v>0</v>
      </c>
      <c r="R14" s="433">
        <f t="shared" si="123"/>
        <v>0</v>
      </c>
      <c r="S14" s="433"/>
      <c r="T14" s="433">
        <f t="shared" si="124"/>
        <v>0</v>
      </c>
      <c r="U14" s="433">
        <f t="shared" si="124"/>
        <v>0</v>
      </c>
      <c r="V14" s="433">
        <f t="shared" si="124"/>
        <v>0</v>
      </c>
      <c r="W14" s="433"/>
      <c r="X14" s="433"/>
      <c r="Y14" s="433">
        <f t="shared" si="125"/>
        <v>0</v>
      </c>
      <c r="Z14" s="433">
        <f t="shared" si="125"/>
        <v>0</v>
      </c>
      <c r="AA14" s="433">
        <f t="shared" si="125"/>
        <v>0</v>
      </c>
      <c r="AB14" s="433">
        <f t="shared" si="125"/>
        <v>0</v>
      </c>
      <c r="AC14" s="433">
        <f t="shared" si="125"/>
        <v>0</v>
      </c>
      <c r="AD14" s="433">
        <f t="shared" si="125"/>
        <v>0</v>
      </c>
      <c r="AE14" s="433"/>
      <c r="AF14" s="433">
        <f t="shared" si="126"/>
        <v>0</v>
      </c>
      <c r="AG14" s="433">
        <f t="shared" si="126"/>
        <v>0</v>
      </c>
      <c r="AH14" s="433">
        <f t="shared" si="126"/>
        <v>0</v>
      </c>
      <c r="AI14" s="433">
        <f t="shared" si="126"/>
        <v>0</v>
      </c>
      <c r="AJ14" s="433">
        <f t="shared" si="126"/>
        <v>0</v>
      </c>
      <c r="AK14" s="433">
        <f t="shared" si="126"/>
        <v>0</v>
      </c>
      <c r="AL14" s="433">
        <f t="shared" si="126"/>
        <v>0</v>
      </c>
      <c r="AM14" s="433">
        <f t="shared" si="126"/>
        <v>0</v>
      </c>
      <c r="AN14" s="433">
        <f t="shared" si="126"/>
        <v>0</v>
      </c>
      <c r="AO14" s="433">
        <f t="shared" si="126"/>
        <v>0</v>
      </c>
      <c r="AP14" s="433"/>
      <c r="AQ14" s="433">
        <f t="shared" si="127"/>
        <v>0</v>
      </c>
      <c r="AS14" s="434">
        <f t="shared" ref="AS14:AS20" si="131">C14</f>
        <v>2</v>
      </c>
      <c r="AZ14" s="435"/>
      <c r="BA14" s="435"/>
      <c r="BB14" s="435"/>
      <c r="BC14" s="435"/>
      <c r="BD14" s="436"/>
      <c r="BE14" s="437"/>
      <c r="FD14" s="436"/>
    </row>
    <row r="15" spans="1:160" s="432" customFormat="1" ht="15" hidden="1" customHeight="1" x14ac:dyDescent="0.2">
      <c r="C15" s="432">
        <v>3</v>
      </c>
      <c r="D15" s="439" t="b">
        <v>0</v>
      </c>
      <c r="L15" s="433">
        <f t="shared" si="128"/>
        <v>0</v>
      </c>
      <c r="O15" s="433">
        <f t="shared" si="129"/>
        <v>0</v>
      </c>
      <c r="P15" s="433">
        <f t="shared" si="130"/>
        <v>0</v>
      </c>
      <c r="R15" s="433">
        <f t="shared" si="123"/>
        <v>0</v>
      </c>
      <c r="S15" s="433"/>
      <c r="T15" s="433">
        <f t="shared" si="124"/>
        <v>0</v>
      </c>
      <c r="U15" s="433">
        <f t="shared" si="124"/>
        <v>0</v>
      </c>
      <c r="V15" s="433">
        <f t="shared" si="124"/>
        <v>0</v>
      </c>
      <c r="W15" s="433"/>
      <c r="X15" s="433"/>
      <c r="Y15" s="433">
        <f t="shared" si="125"/>
        <v>0</v>
      </c>
      <c r="Z15" s="433">
        <f t="shared" si="125"/>
        <v>0</v>
      </c>
      <c r="AA15" s="433">
        <f t="shared" si="125"/>
        <v>0</v>
      </c>
      <c r="AB15" s="433">
        <f t="shared" si="125"/>
        <v>0</v>
      </c>
      <c r="AC15" s="433">
        <f t="shared" si="125"/>
        <v>0</v>
      </c>
      <c r="AD15" s="433">
        <f t="shared" si="125"/>
        <v>0</v>
      </c>
      <c r="AE15" s="433"/>
      <c r="AF15" s="433">
        <f t="shared" si="126"/>
        <v>0</v>
      </c>
      <c r="AG15" s="433">
        <f t="shared" si="126"/>
        <v>0</v>
      </c>
      <c r="AH15" s="433">
        <f t="shared" si="126"/>
        <v>0</v>
      </c>
      <c r="AI15" s="433">
        <f t="shared" si="126"/>
        <v>0</v>
      </c>
      <c r="AJ15" s="433">
        <f t="shared" si="126"/>
        <v>0</v>
      </c>
      <c r="AK15" s="433">
        <f t="shared" si="126"/>
        <v>0</v>
      </c>
      <c r="AL15" s="433">
        <f t="shared" si="126"/>
        <v>0</v>
      </c>
      <c r="AM15" s="433">
        <f t="shared" si="126"/>
        <v>0</v>
      </c>
      <c r="AN15" s="433">
        <f t="shared" si="126"/>
        <v>0</v>
      </c>
      <c r="AO15" s="433">
        <f t="shared" si="126"/>
        <v>0</v>
      </c>
      <c r="AP15" s="433"/>
      <c r="AQ15" s="433">
        <f t="shared" si="127"/>
        <v>0</v>
      </c>
      <c r="AS15" s="434">
        <f t="shared" si="131"/>
        <v>3</v>
      </c>
      <c r="AZ15" s="435"/>
      <c r="BA15" s="435"/>
      <c r="BB15" s="435"/>
      <c r="BC15" s="435"/>
      <c r="BD15" s="436"/>
      <c r="BE15" s="437"/>
      <c r="FD15" s="436"/>
    </row>
    <row r="16" spans="1:160" s="432" customFormat="1" ht="15" hidden="1" customHeight="1" x14ac:dyDescent="0.2">
      <c r="C16" s="438">
        <v>4</v>
      </c>
      <c r="D16" s="439" t="b">
        <v>0</v>
      </c>
      <c r="L16" s="433">
        <f t="shared" si="128"/>
        <v>0</v>
      </c>
      <c r="O16" s="433">
        <f t="shared" si="129"/>
        <v>0</v>
      </c>
      <c r="P16" s="433">
        <f t="shared" si="130"/>
        <v>0</v>
      </c>
      <c r="R16" s="433">
        <f t="shared" si="123"/>
        <v>0</v>
      </c>
      <c r="S16" s="433"/>
      <c r="T16" s="433">
        <f t="shared" si="124"/>
        <v>0</v>
      </c>
      <c r="U16" s="433">
        <f t="shared" si="124"/>
        <v>0</v>
      </c>
      <c r="V16" s="433">
        <f t="shared" si="124"/>
        <v>0</v>
      </c>
      <c r="W16" s="433"/>
      <c r="X16" s="433"/>
      <c r="Y16" s="433">
        <f t="shared" si="125"/>
        <v>0</v>
      </c>
      <c r="Z16" s="433">
        <f t="shared" si="125"/>
        <v>0</v>
      </c>
      <c r="AA16" s="433">
        <f t="shared" si="125"/>
        <v>0</v>
      </c>
      <c r="AB16" s="433">
        <f t="shared" si="125"/>
        <v>0</v>
      </c>
      <c r="AC16" s="433">
        <f t="shared" si="125"/>
        <v>0</v>
      </c>
      <c r="AD16" s="433">
        <f t="shared" si="125"/>
        <v>0</v>
      </c>
      <c r="AE16" s="433"/>
      <c r="AF16" s="433">
        <f t="shared" si="126"/>
        <v>0</v>
      </c>
      <c r="AG16" s="433">
        <f t="shared" si="126"/>
        <v>0</v>
      </c>
      <c r="AH16" s="433">
        <f t="shared" si="126"/>
        <v>0</v>
      </c>
      <c r="AI16" s="433">
        <f t="shared" si="126"/>
        <v>0</v>
      </c>
      <c r="AJ16" s="433">
        <f t="shared" si="126"/>
        <v>0</v>
      </c>
      <c r="AK16" s="433">
        <f t="shared" si="126"/>
        <v>0</v>
      </c>
      <c r="AL16" s="433">
        <f t="shared" si="126"/>
        <v>0</v>
      </c>
      <c r="AM16" s="433">
        <f t="shared" si="126"/>
        <v>0</v>
      </c>
      <c r="AN16" s="433">
        <f t="shared" si="126"/>
        <v>0</v>
      </c>
      <c r="AO16" s="433">
        <f t="shared" si="126"/>
        <v>0</v>
      </c>
      <c r="AP16" s="433"/>
      <c r="AQ16" s="433">
        <f t="shared" si="127"/>
        <v>0</v>
      </c>
      <c r="AS16" s="434">
        <f t="shared" si="131"/>
        <v>4</v>
      </c>
      <c r="AZ16" s="435"/>
      <c r="BA16" s="435"/>
      <c r="BB16" s="435"/>
      <c r="BC16" s="435"/>
      <c r="BD16" s="436"/>
      <c r="BE16" s="437"/>
      <c r="FD16" s="436"/>
    </row>
    <row r="17" spans="1:253" s="432" customFormat="1" ht="15" hidden="1" customHeight="1" x14ac:dyDescent="0.2">
      <c r="C17" s="438">
        <v>6</v>
      </c>
      <c r="D17" s="439" t="b">
        <v>0</v>
      </c>
      <c r="L17" s="433">
        <f t="shared" si="128"/>
        <v>0</v>
      </c>
      <c r="O17" s="433">
        <f t="shared" si="129"/>
        <v>0</v>
      </c>
      <c r="P17" s="433">
        <f t="shared" si="130"/>
        <v>0</v>
      </c>
      <c r="R17" s="433">
        <f t="shared" si="123"/>
        <v>0</v>
      </c>
      <c r="S17" s="433"/>
      <c r="T17" s="433">
        <f t="shared" si="124"/>
        <v>0</v>
      </c>
      <c r="U17" s="433">
        <f t="shared" si="124"/>
        <v>0</v>
      </c>
      <c r="V17" s="433">
        <f t="shared" si="124"/>
        <v>0</v>
      </c>
      <c r="W17" s="433"/>
      <c r="X17" s="433"/>
      <c r="Y17" s="433">
        <f t="shared" si="125"/>
        <v>0</v>
      </c>
      <c r="Z17" s="433">
        <f t="shared" si="125"/>
        <v>0</v>
      </c>
      <c r="AA17" s="433">
        <f t="shared" si="125"/>
        <v>0</v>
      </c>
      <c r="AB17" s="433">
        <f t="shared" si="125"/>
        <v>0</v>
      </c>
      <c r="AC17" s="433">
        <f t="shared" si="125"/>
        <v>0</v>
      </c>
      <c r="AD17" s="433">
        <f t="shared" si="125"/>
        <v>0</v>
      </c>
      <c r="AE17" s="433"/>
      <c r="AF17" s="433">
        <f t="shared" si="126"/>
        <v>0</v>
      </c>
      <c r="AG17" s="433">
        <f t="shared" si="126"/>
        <v>0</v>
      </c>
      <c r="AH17" s="433">
        <f t="shared" si="126"/>
        <v>0</v>
      </c>
      <c r="AI17" s="433">
        <f t="shared" si="126"/>
        <v>0</v>
      </c>
      <c r="AJ17" s="433">
        <f t="shared" si="126"/>
        <v>0</v>
      </c>
      <c r="AK17" s="433">
        <f t="shared" si="126"/>
        <v>0</v>
      </c>
      <c r="AL17" s="433">
        <f t="shared" si="126"/>
        <v>0</v>
      </c>
      <c r="AM17" s="433">
        <f t="shared" si="126"/>
        <v>0</v>
      </c>
      <c r="AN17" s="433">
        <f t="shared" si="126"/>
        <v>0</v>
      </c>
      <c r="AO17" s="433">
        <f t="shared" si="126"/>
        <v>0</v>
      </c>
      <c r="AP17" s="433"/>
      <c r="AQ17" s="433">
        <f t="shared" si="127"/>
        <v>0</v>
      </c>
      <c r="AS17" s="434">
        <f t="shared" si="131"/>
        <v>6</v>
      </c>
      <c r="AZ17" s="435"/>
      <c r="BA17" s="435"/>
      <c r="BB17" s="435"/>
      <c r="BC17" s="435"/>
      <c r="BD17" s="436"/>
      <c r="BE17" s="437"/>
      <c r="FD17" s="436"/>
    </row>
    <row r="18" spans="1:253" s="432" customFormat="1" ht="15" hidden="1" customHeight="1" x14ac:dyDescent="0.2">
      <c r="C18" s="438">
        <v>7</v>
      </c>
      <c r="D18" s="439" t="b">
        <v>0</v>
      </c>
      <c r="L18" s="433">
        <f t="shared" si="128"/>
        <v>0</v>
      </c>
      <c r="O18" s="433">
        <f t="shared" si="129"/>
        <v>0</v>
      </c>
      <c r="P18" s="433">
        <f t="shared" si="130"/>
        <v>0</v>
      </c>
      <c r="R18" s="433">
        <f t="shared" si="123"/>
        <v>0</v>
      </c>
      <c r="S18" s="433"/>
      <c r="T18" s="433">
        <f t="shared" si="124"/>
        <v>0</v>
      </c>
      <c r="U18" s="433">
        <f t="shared" si="124"/>
        <v>0</v>
      </c>
      <c r="V18" s="433">
        <f t="shared" si="124"/>
        <v>0</v>
      </c>
      <c r="W18" s="433"/>
      <c r="X18" s="433"/>
      <c r="Y18" s="433">
        <f t="shared" si="125"/>
        <v>0</v>
      </c>
      <c r="Z18" s="433">
        <f t="shared" si="125"/>
        <v>0</v>
      </c>
      <c r="AA18" s="433">
        <f t="shared" si="125"/>
        <v>0</v>
      </c>
      <c r="AB18" s="433">
        <f t="shared" si="125"/>
        <v>0</v>
      </c>
      <c r="AC18" s="433">
        <f t="shared" si="125"/>
        <v>0</v>
      </c>
      <c r="AD18" s="433">
        <f t="shared" si="125"/>
        <v>0</v>
      </c>
      <c r="AE18" s="433"/>
      <c r="AF18" s="433">
        <f t="shared" si="126"/>
        <v>0</v>
      </c>
      <c r="AG18" s="433">
        <f t="shared" si="126"/>
        <v>0</v>
      </c>
      <c r="AH18" s="433">
        <f t="shared" si="126"/>
        <v>0</v>
      </c>
      <c r="AI18" s="433">
        <f t="shared" si="126"/>
        <v>0</v>
      </c>
      <c r="AJ18" s="433">
        <f t="shared" si="126"/>
        <v>0</v>
      </c>
      <c r="AK18" s="433">
        <f t="shared" si="126"/>
        <v>0</v>
      </c>
      <c r="AL18" s="433">
        <f t="shared" si="126"/>
        <v>0</v>
      </c>
      <c r="AM18" s="433">
        <f t="shared" si="126"/>
        <v>0</v>
      </c>
      <c r="AN18" s="433">
        <f t="shared" si="126"/>
        <v>0</v>
      </c>
      <c r="AO18" s="433">
        <f t="shared" si="126"/>
        <v>0</v>
      </c>
      <c r="AP18" s="433"/>
      <c r="AQ18" s="433">
        <f t="shared" si="127"/>
        <v>0</v>
      </c>
      <c r="AS18" s="434">
        <f t="shared" si="131"/>
        <v>7</v>
      </c>
      <c r="AZ18" s="435"/>
      <c r="BA18" s="435"/>
      <c r="BB18" s="435"/>
      <c r="BC18" s="435"/>
      <c r="BD18" s="436"/>
      <c r="BE18" s="437"/>
      <c r="FD18" s="436"/>
    </row>
    <row r="19" spans="1:253" s="432" customFormat="1" ht="15" hidden="1" customHeight="1" x14ac:dyDescent="0.2">
      <c r="C19" s="438">
        <v>8</v>
      </c>
      <c r="D19" s="439" t="b">
        <v>0</v>
      </c>
      <c r="L19" s="433">
        <f t="shared" si="128"/>
        <v>0</v>
      </c>
      <c r="O19" s="433">
        <f t="shared" si="129"/>
        <v>0</v>
      </c>
      <c r="P19" s="433">
        <f t="shared" si="130"/>
        <v>0</v>
      </c>
      <c r="R19" s="433">
        <f t="shared" si="123"/>
        <v>0</v>
      </c>
      <c r="S19" s="433"/>
      <c r="T19" s="433">
        <f t="shared" si="124"/>
        <v>0</v>
      </c>
      <c r="U19" s="433">
        <f t="shared" si="124"/>
        <v>0</v>
      </c>
      <c r="V19" s="433">
        <f t="shared" si="124"/>
        <v>0</v>
      </c>
      <c r="W19" s="433"/>
      <c r="X19" s="433"/>
      <c r="Y19" s="433">
        <f t="shared" si="125"/>
        <v>0</v>
      </c>
      <c r="Z19" s="433">
        <f t="shared" si="125"/>
        <v>0</v>
      </c>
      <c r="AA19" s="433">
        <f t="shared" si="125"/>
        <v>0</v>
      </c>
      <c r="AB19" s="433">
        <f t="shared" si="125"/>
        <v>0</v>
      </c>
      <c r="AC19" s="433">
        <f t="shared" si="125"/>
        <v>0</v>
      </c>
      <c r="AD19" s="433">
        <f t="shared" si="125"/>
        <v>0</v>
      </c>
      <c r="AE19" s="433"/>
      <c r="AF19" s="433">
        <f t="shared" si="126"/>
        <v>0</v>
      </c>
      <c r="AG19" s="433">
        <f t="shared" si="126"/>
        <v>0</v>
      </c>
      <c r="AH19" s="433">
        <f t="shared" si="126"/>
        <v>0</v>
      </c>
      <c r="AI19" s="433">
        <f t="shared" si="126"/>
        <v>0</v>
      </c>
      <c r="AJ19" s="433">
        <f t="shared" si="126"/>
        <v>0</v>
      </c>
      <c r="AK19" s="433">
        <f t="shared" si="126"/>
        <v>0</v>
      </c>
      <c r="AL19" s="433">
        <f t="shared" si="126"/>
        <v>0</v>
      </c>
      <c r="AM19" s="433">
        <f t="shared" si="126"/>
        <v>0</v>
      </c>
      <c r="AN19" s="433">
        <f t="shared" si="126"/>
        <v>0</v>
      </c>
      <c r="AO19" s="433">
        <f t="shared" si="126"/>
        <v>0</v>
      </c>
      <c r="AP19" s="433"/>
      <c r="AQ19" s="433">
        <f t="shared" si="127"/>
        <v>0</v>
      </c>
      <c r="AS19" s="434">
        <f t="shared" si="131"/>
        <v>8</v>
      </c>
      <c r="AZ19" s="435"/>
      <c r="BA19" s="435"/>
      <c r="BB19" s="435"/>
      <c r="BC19" s="435"/>
      <c r="BD19" s="436"/>
      <c r="BE19" s="437"/>
      <c r="FD19" s="436"/>
    </row>
    <row r="20" spans="1:253" s="432" customFormat="1" ht="15" hidden="1" customHeight="1" x14ac:dyDescent="0.2">
      <c r="C20" s="438">
        <v>9</v>
      </c>
      <c r="D20" s="439" t="b">
        <v>0</v>
      </c>
      <c r="L20" s="433">
        <f t="shared" si="128"/>
        <v>0</v>
      </c>
      <c r="O20" s="433">
        <f t="shared" si="129"/>
        <v>0</v>
      </c>
      <c r="P20" s="433">
        <f t="shared" si="130"/>
        <v>0</v>
      </c>
      <c r="R20" s="433">
        <f t="shared" si="123"/>
        <v>0</v>
      </c>
      <c r="S20" s="433"/>
      <c r="T20" s="433">
        <f t="shared" si="124"/>
        <v>0</v>
      </c>
      <c r="U20" s="433">
        <f t="shared" si="124"/>
        <v>0</v>
      </c>
      <c r="V20" s="433">
        <f t="shared" si="124"/>
        <v>0</v>
      </c>
      <c r="W20" s="433"/>
      <c r="X20" s="433"/>
      <c r="Y20" s="433">
        <f t="shared" si="125"/>
        <v>0</v>
      </c>
      <c r="Z20" s="433">
        <f t="shared" si="125"/>
        <v>0</v>
      </c>
      <c r="AA20" s="433">
        <f t="shared" si="125"/>
        <v>0</v>
      </c>
      <c r="AB20" s="433">
        <f t="shared" si="125"/>
        <v>0</v>
      </c>
      <c r="AC20" s="433">
        <f t="shared" si="125"/>
        <v>0</v>
      </c>
      <c r="AD20" s="433">
        <f t="shared" si="125"/>
        <v>0</v>
      </c>
      <c r="AE20" s="433"/>
      <c r="AF20" s="433">
        <f t="shared" si="126"/>
        <v>0</v>
      </c>
      <c r="AG20" s="433">
        <f t="shared" si="126"/>
        <v>0</v>
      </c>
      <c r="AH20" s="433">
        <f t="shared" si="126"/>
        <v>0</v>
      </c>
      <c r="AI20" s="433">
        <f t="shared" si="126"/>
        <v>0</v>
      </c>
      <c r="AJ20" s="433">
        <f t="shared" si="126"/>
        <v>0</v>
      </c>
      <c r="AK20" s="433">
        <f t="shared" si="126"/>
        <v>0</v>
      </c>
      <c r="AL20" s="433">
        <f t="shared" si="126"/>
        <v>0</v>
      </c>
      <c r="AM20" s="433">
        <f t="shared" si="126"/>
        <v>0</v>
      </c>
      <c r="AN20" s="433">
        <f t="shared" si="126"/>
        <v>0</v>
      </c>
      <c r="AO20" s="433">
        <f t="shared" si="126"/>
        <v>0</v>
      </c>
      <c r="AP20" s="433"/>
      <c r="AQ20" s="433">
        <f t="shared" si="127"/>
        <v>0</v>
      </c>
      <c r="AS20" s="434">
        <f t="shared" si="131"/>
        <v>9</v>
      </c>
      <c r="AZ20" s="435"/>
      <c r="BA20" s="435"/>
      <c r="BB20" s="435"/>
      <c r="BC20" s="435"/>
      <c r="BD20" s="436"/>
      <c r="BE20" s="437"/>
      <c r="FD20" s="436"/>
    </row>
    <row r="21" spans="1:253" s="440" customFormat="1" ht="15" customHeight="1" x14ac:dyDescent="0.2">
      <c r="C21" s="431"/>
      <c r="D21" s="441"/>
      <c r="L21" s="442"/>
      <c r="O21" s="442"/>
      <c r="P21" s="442"/>
      <c r="R21" s="442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42"/>
      <c r="AF21" s="442"/>
      <c r="AG21" s="442"/>
      <c r="AH21" s="442"/>
      <c r="AI21" s="442"/>
      <c r="AJ21" s="442"/>
      <c r="AK21" s="442"/>
      <c r="AL21" s="442"/>
      <c r="AM21" s="442"/>
      <c r="AN21" s="442"/>
      <c r="AO21" s="442"/>
      <c r="AP21" s="442"/>
      <c r="AQ21" s="442"/>
      <c r="AS21" s="443"/>
      <c r="AZ21" s="444"/>
      <c r="BA21" s="444"/>
      <c r="BB21" s="444"/>
      <c r="BC21" s="444"/>
      <c r="BD21" s="430"/>
      <c r="BE21" s="445"/>
      <c r="FD21" s="430"/>
    </row>
    <row r="22" spans="1:253" x14ac:dyDescent="0.2">
      <c r="Z22" s="177"/>
      <c r="AB22" s="37" t="s">
        <v>616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379</v>
      </c>
      <c r="AY22" s="203">
        <f ca="1">TODAY()</f>
        <v>45759</v>
      </c>
      <c r="BB22" s="176"/>
      <c r="BC22" s="176"/>
      <c r="BD22" s="172"/>
      <c r="BE22" s="177"/>
    </row>
    <row r="23" spans="1:253" x14ac:dyDescent="0.2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380</v>
      </c>
      <c r="AY23" s="180" t="s">
        <v>381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">
      <c r="B24" s="475" t="s">
        <v>389</v>
      </c>
      <c r="C24" s="475"/>
      <c r="D24" s="475"/>
      <c r="E24" s="393" t="s">
        <v>360</v>
      </c>
      <c r="F24" s="159"/>
      <c r="G24" s="172" t="s">
        <v>28</v>
      </c>
      <c r="H24" s="172"/>
      <c r="I24" s="196">
        <f>Систем!C25</f>
        <v>5.0000000000000001E-3</v>
      </c>
      <c r="AB24" s="86" t="s">
        <v>300</v>
      </c>
      <c r="AG24" s="86" t="s">
        <v>301</v>
      </c>
      <c r="AK24" s="176"/>
      <c r="AP24" s="176"/>
      <c r="AX24" s="143" t="s">
        <v>384</v>
      </c>
      <c r="AY24" s="180" t="s">
        <v>546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">
      <c r="B25" s="460" t="s">
        <v>382</v>
      </c>
      <c r="C25" s="460"/>
      <c r="D25" s="460"/>
      <c r="E25" s="446" t="s">
        <v>605</v>
      </c>
      <c r="F25" s="205"/>
      <c r="AX25" s="143" t="s">
        <v>385</v>
      </c>
      <c r="AY25" s="180" t="s">
        <v>383</v>
      </c>
      <c r="BG25" s="193"/>
      <c r="EQ25" s="160"/>
      <c r="ER25" s="160"/>
      <c r="ES25" s="160"/>
      <c r="ET25" s="160"/>
    </row>
    <row r="26" spans="1:253" s="264" customFormat="1" ht="19.5" hidden="1" customHeight="1" x14ac:dyDescent="0.25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IF(C26=5,IF(D26&lt;1960,AA26*Систем!$L$7,AA26*Систем!$M$7),"!!!")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2"/>
      <c r="AE26" s="422" t="s">
        <v>107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107</v>
      </c>
      <c r="AU26" s="258" t="s">
        <v>107</v>
      </c>
      <c r="AV26" s="258">
        <v>0</v>
      </c>
      <c r="AW26" s="258" t="s">
        <v>107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IF((Систем!$D$16/$AG$2*W26+BC26+BB26+BY26+BZ26)&gt;maxod,maxod-BC26-BB26-BY26-BZ26,Систем!$D$16/$AG$2*W26),IF((Систем!$D$14/$AG$2*W26+BC26+BB26+BY26+BZ26)&gt;maxod,maxod-BC26-BB26-BY26-BZ26,Систем!$D$14/$AG$2*W26)))</f>
        <v>0</v>
      </c>
      <c r="CJ26" s="260">
        <f>IF(OR(C26=3,C26=4),0,IF(AND(C26=2,AT26="да"),IF((Систем!$D$16/$AG$2*X26+BC26+BB26+BY26+BZ26)&gt;maxod,maxod-BC26-BB26-BY26-BZ26,Систем!$D$16/$AG$2*X26),IF((Систем!$D$14/$AG$2*X26+BC26+BB26+BY26+BZ26)&gt;maxod,maxod-BC26-BB26-BY26-BZ26,Систем!$D$14/$AG$2*X26)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">
      <c r="AA27" s="193"/>
      <c r="CI27" s="193"/>
      <c r="IP27" s="86">
        <f>Систем!D12</f>
        <v>4130</v>
      </c>
      <c r="IQ27" s="95" t="s">
        <v>468</v>
      </c>
      <c r="IR27" s="86">
        <v>1</v>
      </c>
      <c r="IS27" s="86" t="s">
        <v>29</v>
      </c>
    </row>
    <row r="28" spans="1:253" x14ac:dyDescent="0.2">
      <c r="FD28" s="86"/>
      <c r="IQ28" s="95" t="s">
        <v>469</v>
      </c>
      <c r="IR28" s="86">
        <v>2</v>
      </c>
      <c r="IS28" s="86" t="s">
        <v>107</v>
      </c>
    </row>
    <row r="29" spans="1:253" x14ac:dyDescent="0.2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470</v>
      </c>
      <c r="IR29" s="86">
        <v>3</v>
      </c>
    </row>
    <row r="30" spans="1:253" x14ac:dyDescent="0.2">
      <c r="IQ30" s="95" t="s">
        <v>471</v>
      </c>
      <c r="IR30" s="171">
        <v>4</v>
      </c>
    </row>
    <row r="31" spans="1:253" x14ac:dyDescent="0.2">
      <c r="IQ31" s="423" t="s">
        <v>472</v>
      </c>
      <c r="IR31" s="172">
        <v>5</v>
      </c>
    </row>
    <row r="32" spans="1:253" x14ac:dyDescent="0.2">
      <c r="IQ32" s="95" t="s">
        <v>473</v>
      </c>
      <c r="IR32" s="86">
        <v>6</v>
      </c>
    </row>
    <row r="33" spans="251:252" x14ac:dyDescent="0.2">
      <c r="IQ33" s="95" t="s">
        <v>474</v>
      </c>
      <c r="IR33" s="86">
        <v>7</v>
      </c>
    </row>
    <row r="34" spans="251:252" x14ac:dyDescent="0.2">
      <c r="IQ34" s="95" t="s">
        <v>475</v>
      </c>
      <c r="IR34" s="86">
        <v>8</v>
      </c>
    </row>
    <row r="35" spans="251:252" x14ac:dyDescent="0.2">
      <c r="IQ35" s="95" t="s">
        <v>476</v>
      </c>
      <c r="IR35" s="459">
        <v>9</v>
      </c>
    </row>
    <row r="36" spans="251:252" x14ac:dyDescent="0.2">
      <c r="IQ36" s="95">
        <v>10</v>
      </c>
    </row>
    <row r="37" spans="251:252" x14ac:dyDescent="0.2">
      <c r="IQ37" s="95">
        <v>11</v>
      </c>
    </row>
    <row r="38" spans="251:252" x14ac:dyDescent="0.2">
      <c r="IQ38" s="95">
        <v>12</v>
      </c>
    </row>
    <row r="53" spans="2:5" x14ac:dyDescent="0.2">
      <c r="B53" s="86" t="str">
        <f>IF(Д6!C26="","",Д6!C26)</f>
        <v/>
      </c>
    </row>
    <row r="57" spans="2:5" x14ac:dyDescent="0.2">
      <c r="B57" s="86" t="s">
        <v>101</v>
      </c>
      <c r="E57" s="86" t="s">
        <v>101</v>
      </c>
    </row>
    <row r="62" spans="2:5" x14ac:dyDescent="0.2">
      <c r="E62" s="86" t="s">
        <v>101</v>
      </c>
    </row>
    <row r="64" spans="2:5" x14ac:dyDescent="0.2">
      <c r="B64" s="86" t="s">
        <v>101</v>
      </c>
    </row>
  </sheetData>
  <mergeCells count="163"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</mergeCells>
  <phoneticPr fontId="0" type="noConversion"/>
  <conditionalFormatting sqref="AV8">
    <cfRule type="expression" dxfId="3" priority="17">
      <formula>IF($AV8&gt;$M8,1,0)</formula>
    </cfRule>
  </conditionalFormatting>
  <conditionalFormatting sqref="AV9">
    <cfRule type="expression" dxfId="2" priority="16">
      <formula>IF($AV9&gt;$M9,1,0)</formula>
    </cfRule>
  </conditionalFormatting>
  <conditionalFormatting sqref="AV26">
    <cfRule type="expression" dxfId="1" priority="15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Грешка" error="Въведете да или не !!!" sqref="AW8:AW9 AW26 AT26:AU26 AT8:AU9" xr:uid="{00000000-0002-0000-0000-000003000000}">
      <formula1>$IS$27:$IS$28</formula1>
    </dataValidation>
    <dataValidation type="list" allowBlank="1" showInputMessage="1" showErrorMessage="1" sqref="AE26 AD10:AE10 AE8:AE9" xr:uid="{00000000-0002-0000-0000-000004000000}">
      <formula1>$IS$27:$IS$28</formula1>
    </dataValidation>
    <dataValidation type="list" allowBlank="1" showInputMessage="1" showErrorMessage="1" errorTitle="Вид осигурен" error="Няма такъв вид осигурен в базата данни!!!" sqref="C26 C8:C9" xr:uid="{313588A4-58C1-4CC2-A4D3-397336A56DAD}">
      <formula1>$IR$27:$IR$35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71"/>
  <sheetViews>
    <sheetView topLeftCell="A47" workbookViewId="0">
      <selection activeCell="J69" sqref="J69"/>
    </sheetView>
  </sheetViews>
  <sheetFormatPr defaultRowHeight="12.75" x14ac:dyDescent="0.2"/>
  <cols>
    <col min="1" max="1" width="3.5703125" customWidth="1"/>
    <col min="2" max="2" width="13.7109375" style="368" customWidth="1"/>
    <col min="3" max="3" width="6.42578125" style="382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396">
        <f ca="1">IF(B2="Общо"," ",A15+1)</f>
        <v>1</v>
      </c>
      <c r="B2" s="491">
        <f ca="1">OFFSET(РПВ!$B$8,A15,)</f>
        <v>0</v>
      </c>
      <c r="C2" s="492"/>
      <c r="D2" s="492"/>
      <c r="E2" s="492"/>
      <c r="F2" s="492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>ЕГН:</v>
      </c>
      <c r="I2" s="493">
        <f ca="1">IF(B2="Общо"," ",IF(OFFSET(РПВ!$FD$8,A15,)=""," ",OFFSET(РПВ!$FD$8,A15,)))</f>
        <v>8607040526</v>
      </c>
      <c r="J2" s="494"/>
    </row>
    <row r="3" spans="1:10" x14ac:dyDescent="0.2">
      <c r="B3" s="369" t="s">
        <v>502</v>
      </c>
      <c r="C3" s="384">
        <f ca="1">OFFSET(РПВ!$J$8,A15,)</f>
        <v>0</v>
      </c>
      <c r="D3" s="450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504</v>
      </c>
      <c r="H3" s="370">
        <f ca="1">OFFSET(РПВ!$DH$8,A15,)</f>
        <v>0</v>
      </c>
      <c r="I3" s="371" t="s">
        <v>505</v>
      </c>
      <c r="J3" s="389">
        <f ca="1">OFFSET(РПВ!$AI$8,A15,)</f>
        <v>0</v>
      </c>
    </row>
    <row r="4" spans="1:10" x14ac:dyDescent="0.2">
      <c r="B4" s="452" t="s">
        <v>607</v>
      </c>
      <c r="C4" s="489" t="str">
        <f ca="1">IF(B2="Общо"," ",IF(OFFSET(РПВ!$G$8,A15,)=""," ",OFFSET(РПВ!$G$8,A15,)))</f>
        <v xml:space="preserve"> </v>
      </c>
      <c r="D4" s="490"/>
      <c r="E4" s="375" t="s">
        <v>503</v>
      </c>
      <c r="F4" s="373">
        <v>0</v>
      </c>
      <c r="G4" s="374" t="s">
        <v>508</v>
      </c>
      <c r="H4" s="373">
        <f ca="1">OFFSET(РПВ!$DR$8,A15,)</f>
        <v>0</v>
      </c>
      <c r="I4" s="375" t="s">
        <v>509</v>
      </c>
      <c r="J4" s="390">
        <f ca="1">OFFSET(РПВ!$AH$8,A15,)</f>
        <v>0</v>
      </c>
    </row>
    <row r="5" spans="1:10" x14ac:dyDescent="0.2">
      <c r="B5" s="372" t="s">
        <v>506</v>
      </c>
      <c r="C5" s="385">
        <f ca="1">IF(B2="Общо","-",OFFSET(РПВ!$Q$8,A15,))</f>
        <v>0</v>
      </c>
      <c r="D5" s="373">
        <f ca="1">OFFSET(РПВ!$R$8,A15,)</f>
        <v>0</v>
      </c>
      <c r="E5" s="374" t="s">
        <v>507</v>
      </c>
      <c r="F5" s="373">
        <f ca="1">OFFSET(РПВ!$Z$8,A15,)</f>
        <v>0</v>
      </c>
      <c r="G5" s="374" t="s">
        <v>512</v>
      </c>
      <c r="H5" s="373">
        <f ca="1">OFFSET(РПВ!$AF$8,A15,)</f>
        <v>0</v>
      </c>
      <c r="I5" s="375" t="s">
        <v>513</v>
      </c>
      <c r="J5" s="390">
        <f ca="1">OFFSET(РПВ!$AJ$8,A15,)</f>
        <v>0</v>
      </c>
    </row>
    <row r="6" spans="1:10" x14ac:dyDescent="0.2">
      <c r="B6" s="372" t="s">
        <v>510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511</v>
      </c>
      <c r="F6" s="373">
        <f ca="1">OFFSET(РПВ!$AA$8,A15,)</f>
        <v>0</v>
      </c>
      <c r="G6" s="374" t="s">
        <v>514</v>
      </c>
      <c r="H6" s="373">
        <f ca="1">OFFSET(РПВ!$DM$8,A15,)+OFFSET(РПВ!$DN$8,A15,)</f>
        <v>0</v>
      </c>
      <c r="I6" s="375" t="s">
        <v>515</v>
      </c>
      <c r="J6" s="390">
        <f ca="1">OFFSET(РПВ!$AK$8,A15,)</f>
        <v>0</v>
      </c>
    </row>
    <row r="7" spans="1:10" x14ac:dyDescent="0.2">
      <c r="B7" s="376" t="s">
        <v>269</v>
      </c>
      <c r="C7" s="394">
        <f ca="1">IF(B2="Общо","-",OFFSET(РПВ!$M$8,A15,))</f>
        <v>0</v>
      </c>
      <c r="D7" s="415"/>
      <c r="E7" s="417" t="s">
        <v>549</v>
      </c>
      <c r="F7" s="373">
        <f ca="1">(OFFSET(РПВ!$CI$8,A15,)+OFFSET(РПВ!$CJ$8,A15,))</f>
        <v>0</v>
      </c>
      <c r="G7" s="377" t="s">
        <v>517</v>
      </c>
      <c r="H7" s="378">
        <f ca="1">OFFSET(РПВ!$FB$8,A15,)</f>
        <v>0</v>
      </c>
      <c r="I7" s="374" t="s">
        <v>518</v>
      </c>
      <c r="J7" s="390">
        <v>0</v>
      </c>
    </row>
    <row r="8" spans="1:10" x14ac:dyDescent="0.2">
      <c r="B8" s="376" t="s">
        <v>516</v>
      </c>
      <c r="C8" s="387"/>
      <c r="D8" s="373">
        <f ca="1">OFFSET(РПВ!$U$8,A15,)</f>
        <v>0</v>
      </c>
      <c r="E8" s="416" t="s">
        <v>548</v>
      </c>
      <c r="F8" s="373">
        <f ca="1">(OFFSET(РПВ!$BG$8,A15,)+OFFSET(РПВ!$BH$8,A15,))</f>
        <v>0</v>
      </c>
      <c r="G8" s="377" t="s">
        <v>520</v>
      </c>
      <c r="H8" s="378">
        <f ca="1">OFFSET(РПВ!$DO$8,A15,)</f>
        <v>0</v>
      </c>
      <c r="I8" s="375" t="s">
        <v>521</v>
      </c>
      <c r="J8" s="390">
        <f ca="1">OFFSET(РПВ!$AL$8,A15,)</f>
        <v>0</v>
      </c>
    </row>
    <row r="9" spans="1:10" x14ac:dyDescent="0.2">
      <c r="B9" s="376" t="s">
        <v>519</v>
      </c>
      <c r="C9" s="387"/>
      <c r="D9" s="373">
        <v>0</v>
      </c>
      <c r="E9" s="374" t="s">
        <v>556</v>
      </c>
      <c r="F9" s="426" t="str">
        <f ca="1">OFFSET(РПВ!$AE$8,A15,)</f>
        <v>не</v>
      </c>
      <c r="G9" s="377" t="s">
        <v>523</v>
      </c>
      <c r="H9" s="378">
        <f ca="1">OFFSET(РПВ!$DQ$8,A15,)</f>
        <v>0</v>
      </c>
      <c r="I9" s="374" t="s">
        <v>455</v>
      </c>
      <c r="J9" s="390">
        <f ca="1">OFFSET(РПВ!$AM$8,A15,)</f>
        <v>0</v>
      </c>
    </row>
    <row r="10" spans="1:10" x14ac:dyDescent="0.2">
      <c r="B10" s="376" t="s">
        <v>522</v>
      </c>
      <c r="C10" s="387"/>
      <c r="D10" s="373">
        <f ca="1">OFFSET(РПВ!$V$8,A15,)</f>
        <v>0</v>
      </c>
      <c r="E10" s="375" t="s">
        <v>537</v>
      </c>
      <c r="F10" s="373">
        <f ca="1">OFFSET(РПВ!$AB$8,A15,)</f>
        <v>0</v>
      </c>
      <c r="G10" s="377" t="s">
        <v>524</v>
      </c>
      <c r="H10" s="378">
        <f ca="1">OFFSET(РПВ!$DP$8,A15,)</f>
        <v>0</v>
      </c>
      <c r="I10" s="375" t="s">
        <v>525</v>
      </c>
      <c r="J10" s="390">
        <f ca="1">OFFSET(РПВ!$AO$8,A15,)</f>
        <v>0</v>
      </c>
    </row>
    <row r="11" spans="1:10" x14ac:dyDescent="0.2">
      <c r="B11" s="376" t="s">
        <v>536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538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527</v>
      </c>
      <c r="H11" s="378">
        <f ca="1">OFFSET(РПВ!$DK$8,A15,)+OFFSET(РПВ!$DL$8,A15,)</f>
        <v>0</v>
      </c>
      <c r="I11" s="375" t="s">
        <v>528</v>
      </c>
      <c r="J11" s="390"/>
    </row>
    <row r="12" spans="1:10" x14ac:dyDescent="0.2">
      <c r="B12" s="376" t="s">
        <v>526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0,50%</v>
      </c>
      <c r="F12" s="373">
        <f ca="1">OFFSET(РПВ!$DG$8,A15,)</f>
        <v>0</v>
      </c>
      <c r="G12" s="377" t="s">
        <v>600</v>
      </c>
      <c r="H12" s="378">
        <f ca="1">OFFSET(РПВ!$AG$8,A15,)</f>
        <v>0</v>
      </c>
      <c r="I12" s="374" t="s">
        <v>530</v>
      </c>
      <c r="J12" s="390">
        <f ca="1">OFFSET(РПВ!$AQ$8,A15,)-OFFSET(РПВ!$AX$8,A15,)</f>
        <v>0</v>
      </c>
    </row>
    <row r="13" spans="1:10" x14ac:dyDescent="0.2">
      <c r="B13" s="376" t="s">
        <v>529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532</v>
      </c>
      <c r="F13" s="373">
        <f ca="1">OFFSET(РПВ!$AC$8,A15,)</f>
        <v>0</v>
      </c>
      <c r="G13" s="377" t="s">
        <v>601</v>
      </c>
      <c r="H13" s="378">
        <f ca="1">OFFSET(РПВ!$DI$8,A15,)+OFFSET(РПВ!$DJ$8,A15,)</f>
        <v>0</v>
      </c>
      <c r="I13" s="374" t="s">
        <v>533</v>
      </c>
      <c r="J13" s="390">
        <f ca="1">OFFSET(РПВ!$AX$8,A15,)</f>
        <v>0</v>
      </c>
    </row>
    <row r="14" spans="1:10" ht="13.5" thickBot="1" x14ac:dyDescent="0.25">
      <c r="B14" s="379" t="s">
        <v>531</v>
      </c>
      <c r="C14" s="451">
        <f ca="1">IF(B2="Общо","-",OFFSET(РПВ!$X$8,A15,))</f>
        <v>0</v>
      </c>
      <c r="D14" s="380"/>
      <c r="E14" s="381" t="s">
        <v>534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535</v>
      </c>
      <c r="H14" s="380">
        <f ca="1">OFFSET(РПВ!$Y$8,A15,)</f>
        <v>0</v>
      </c>
      <c r="I14" s="381" t="s">
        <v>178</v>
      </c>
      <c r="J14" s="391"/>
    </row>
    <row r="15" spans="1:10" s="400" customFormat="1" ht="27" customHeight="1" thickBot="1" x14ac:dyDescent="0.2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6.5" x14ac:dyDescent="0.3">
      <c r="A16" s="396">
        <f ca="1">IF(B16="Общо"," ",A29+1)</f>
        <v>2</v>
      </c>
      <c r="B16" s="491">
        <f ca="1">OFFSET(РПВ!$B$8,A29,)</f>
        <v>0</v>
      </c>
      <c r="C16" s="492"/>
      <c r="D16" s="492"/>
      <c r="E16" s="492"/>
      <c r="F16" s="492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93" t="str">
        <f ca="1">IF(B16="Общо"," ",IF(OFFSET(РПВ!$FD$8,A29,)=""," ",OFFSET(РПВ!$FD$8,A29,)))</f>
        <v xml:space="preserve"> </v>
      </c>
      <c r="J16" s="494"/>
    </row>
    <row r="17" spans="1:10" x14ac:dyDescent="0.2">
      <c r="B17" s="369" t="s">
        <v>502</v>
      </c>
      <c r="C17" s="384">
        <f ca="1">OFFSET(РПВ!$J$8,A29,)</f>
        <v>0</v>
      </c>
      <c r="D17" s="450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504</v>
      </c>
      <c r="H17" s="370">
        <f ca="1">OFFSET(РПВ!$DH$8,A29,)</f>
        <v>0</v>
      </c>
      <c r="I17" s="371" t="s">
        <v>505</v>
      </c>
      <c r="J17" s="389">
        <f ca="1">OFFSET(РПВ!$AI$8,A29,)</f>
        <v>0</v>
      </c>
    </row>
    <row r="18" spans="1:10" x14ac:dyDescent="0.2">
      <c r="B18" s="452" t="s">
        <v>607</v>
      </c>
      <c r="C18" s="489" t="str">
        <f ca="1">IF(B16="Общо"," ",IF(OFFSET(РПВ!$G$8,A29,)=""," ",OFFSET(РПВ!$G$8,A29,)))</f>
        <v xml:space="preserve"> </v>
      </c>
      <c r="D18" s="490"/>
      <c r="E18" s="375" t="s">
        <v>503</v>
      </c>
      <c r="F18" s="373">
        <v>0</v>
      </c>
      <c r="G18" s="374" t="s">
        <v>508</v>
      </c>
      <c r="H18" s="373">
        <f ca="1">OFFSET(РПВ!$DR$8,A29,)</f>
        <v>0</v>
      </c>
      <c r="I18" s="375" t="s">
        <v>509</v>
      </c>
      <c r="J18" s="390">
        <f ca="1">OFFSET(РПВ!$AH$8,A29,)</f>
        <v>0</v>
      </c>
    </row>
    <row r="19" spans="1:10" x14ac:dyDescent="0.2">
      <c r="B19" s="372" t="s">
        <v>506</v>
      </c>
      <c r="C19" s="385">
        <f ca="1">IF(B16="Общо","-",OFFSET(РПВ!$Q$8,A29,))</f>
        <v>0</v>
      </c>
      <c r="D19" s="373">
        <f ca="1">OFFSET(РПВ!$R$8,A29,)</f>
        <v>0</v>
      </c>
      <c r="E19" s="374" t="s">
        <v>507</v>
      </c>
      <c r="F19" s="373">
        <f ca="1">OFFSET(РПВ!$Z$8,A29,)</f>
        <v>0</v>
      </c>
      <c r="G19" s="374" t="s">
        <v>512</v>
      </c>
      <c r="H19" s="373">
        <f ca="1">OFFSET(РПВ!$AF$8,A29,)</f>
        <v>0</v>
      </c>
      <c r="I19" s="375" t="s">
        <v>513</v>
      </c>
      <c r="J19" s="390">
        <f ca="1">OFFSET(РПВ!$AJ$8,A29,)</f>
        <v>0</v>
      </c>
    </row>
    <row r="20" spans="1:10" x14ac:dyDescent="0.2">
      <c r="B20" s="372" t="s">
        <v>510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511</v>
      </c>
      <c r="F20" s="373">
        <f ca="1">OFFSET(РПВ!$AA$8,A29,)</f>
        <v>0</v>
      </c>
      <c r="G20" s="374" t="s">
        <v>514</v>
      </c>
      <c r="H20" s="373">
        <f ca="1">OFFSET(РПВ!$DM$8,A29,)+OFFSET(РПВ!$DN$8,A29,)</f>
        <v>0</v>
      </c>
      <c r="I20" s="375" t="s">
        <v>515</v>
      </c>
      <c r="J20" s="390">
        <f ca="1">OFFSET(РПВ!$AK$8,A29,)</f>
        <v>0</v>
      </c>
    </row>
    <row r="21" spans="1:10" x14ac:dyDescent="0.2">
      <c r="B21" s="376" t="s">
        <v>269</v>
      </c>
      <c r="C21" s="394">
        <f ca="1">IF(B16="Общо","-",OFFSET(РПВ!$M$8,A29,))</f>
        <v>0</v>
      </c>
      <c r="D21" s="415"/>
      <c r="E21" s="417" t="s">
        <v>549</v>
      </c>
      <c r="F21" s="373">
        <f ca="1">(OFFSET(РПВ!$CI$8,A29,)+OFFSET(РПВ!$CJ$8,A29,))</f>
        <v>0</v>
      </c>
      <c r="G21" s="377" t="s">
        <v>517</v>
      </c>
      <c r="H21" s="378">
        <f ca="1">OFFSET(РПВ!$FB$8,A29,)</f>
        <v>0</v>
      </c>
      <c r="I21" s="374" t="s">
        <v>518</v>
      </c>
      <c r="J21" s="390">
        <v>0</v>
      </c>
    </row>
    <row r="22" spans="1:10" x14ac:dyDescent="0.2">
      <c r="B22" s="376" t="s">
        <v>516</v>
      </c>
      <c r="C22" s="387"/>
      <c r="D22" s="373">
        <f ca="1">OFFSET(РПВ!$U$8,A29,)</f>
        <v>0</v>
      </c>
      <c r="E22" s="416" t="s">
        <v>548</v>
      </c>
      <c r="F22" s="373">
        <f ca="1">(OFFSET(РПВ!$BG$8,A29,)+OFFSET(РПВ!$BH$8,A29,))</f>
        <v>0</v>
      </c>
      <c r="G22" s="377" t="s">
        <v>520</v>
      </c>
      <c r="H22" s="378">
        <f ca="1">OFFSET(РПВ!$DO$8,A29,)</f>
        <v>0</v>
      </c>
      <c r="I22" s="375" t="s">
        <v>521</v>
      </c>
      <c r="J22" s="390">
        <f ca="1">OFFSET(РПВ!$AL$8,A29,)</f>
        <v>0</v>
      </c>
    </row>
    <row r="23" spans="1:10" x14ac:dyDescent="0.2">
      <c r="B23" s="376" t="s">
        <v>519</v>
      </c>
      <c r="C23" s="387"/>
      <c r="D23" s="373">
        <v>0</v>
      </c>
      <c r="E23" s="374" t="s">
        <v>556</v>
      </c>
      <c r="F23" s="426" t="str">
        <f ca="1">OFFSET(РПВ!$AE$8,A29,)</f>
        <v>не</v>
      </c>
      <c r="G23" s="377" t="s">
        <v>523</v>
      </c>
      <c r="H23" s="378">
        <f ca="1">OFFSET(РПВ!$DQ$8,A29,)</f>
        <v>0</v>
      </c>
      <c r="I23" s="374" t="s">
        <v>455</v>
      </c>
      <c r="J23" s="390">
        <f ca="1">OFFSET(РПВ!$AM$8,A29,)</f>
        <v>0</v>
      </c>
    </row>
    <row r="24" spans="1:10" x14ac:dyDescent="0.2">
      <c r="B24" s="376" t="s">
        <v>522</v>
      </c>
      <c r="C24" s="387"/>
      <c r="D24" s="373">
        <f ca="1">OFFSET(РПВ!$V$8,A29,)</f>
        <v>0</v>
      </c>
      <c r="E24" s="375" t="s">
        <v>537</v>
      </c>
      <c r="F24" s="373">
        <f ca="1">OFFSET(РПВ!$AB$8,A29,)</f>
        <v>0</v>
      </c>
      <c r="G24" s="377" t="s">
        <v>524</v>
      </c>
      <c r="H24" s="378">
        <f ca="1">OFFSET(РПВ!$DP$8,A29,)</f>
        <v>0</v>
      </c>
      <c r="I24" s="375" t="s">
        <v>525</v>
      </c>
      <c r="J24" s="390">
        <f ca="1">OFFSET(РПВ!$AO$8,A29,)</f>
        <v>0</v>
      </c>
    </row>
    <row r="25" spans="1:10" x14ac:dyDescent="0.2">
      <c r="B25" s="376" t="s">
        <v>536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538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527</v>
      </c>
      <c r="H25" s="378">
        <f ca="1">OFFSET(РПВ!$DK$8,A29,)+OFFSET(РПВ!$DL$8,A29,)</f>
        <v>0</v>
      </c>
      <c r="I25" s="375" t="s">
        <v>528</v>
      </c>
      <c r="J25" s="390"/>
    </row>
    <row r="26" spans="1:10" x14ac:dyDescent="0.2">
      <c r="B26" s="376" t="s">
        <v>526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0,00%</v>
      </c>
      <c r="F26" s="373">
        <f ca="1">OFFSET(РПВ!$DG$8,A29,)</f>
        <v>0</v>
      </c>
      <c r="G26" s="377" t="s">
        <v>600</v>
      </c>
      <c r="H26" s="378">
        <f ca="1">OFFSET(РПВ!$AG$8,A29,)</f>
        <v>0</v>
      </c>
      <c r="I26" s="374" t="s">
        <v>530</v>
      </c>
      <c r="J26" s="390">
        <f ca="1">OFFSET(РПВ!$AQ$8,A29,)-OFFSET(РПВ!$AX$8,A29,)</f>
        <v>0</v>
      </c>
    </row>
    <row r="27" spans="1:10" x14ac:dyDescent="0.2">
      <c r="B27" s="376" t="s">
        <v>529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532</v>
      </c>
      <c r="F27" s="373">
        <f ca="1">OFFSET(РПВ!$AC$8,A29,)</f>
        <v>0</v>
      </c>
      <c r="G27" s="377" t="s">
        <v>601</v>
      </c>
      <c r="H27" s="378">
        <f ca="1">OFFSET(РПВ!$DI$8,A29,)+OFFSET(РПВ!$DJ$8,A29,)</f>
        <v>0</v>
      </c>
      <c r="I27" s="374" t="s">
        <v>533</v>
      </c>
      <c r="J27" s="390">
        <f ca="1">OFFSET(РПВ!$AX$8,A29,)</f>
        <v>0</v>
      </c>
    </row>
    <row r="28" spans="1:10" ht="13.5" thickBot="1" x14ac:dyDescent="0.25">
      <c r="B28" s="379" t="s">
        <v>531</v>
      </c>
      <c r="C28" s="451">
        <f ca="1">IF(B16="Общо","-",OFFSET(РПВ!$X$8,A29,))</f>
        <v>0</v>
      </c>
      <c r="D28" s="380"/>
      <c r="E28" s="381" t="s">
        <v>534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535</v>
      </c>
      <c r="H28" s="380">
        <f ca="1">OFFSET(РПВ!$Y$8,A29,)</f>
        <v>0</v>
      </c>
      <c r="I28" s="381" t="s">
        <v>178</v>
      </c>
      <c r="J28" s="391"/>
    </row>
    <row r="29" spans="1:10" s="400" customFormat="1" ht="27" customHeight="1" thickBot="1" x14ac:dyDescent="0.2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6.5" x14ac:dyDescent="0.3">
      <c r="A30" s="396">
        <f ca="1">IF(B30="Общо"," ",A43+1)</f>
        <v>3</v>
      </c>
      <c r="B30" s="491" t="str">
        <f ca="1">OFFSET(РПВ!$B$8,A43,)</f>
        <v>Системен ред</v>
      </c>
      <c r="C30" s="492"/>
      <c r="D30" s="492"/>
      <c r="E30" s="492"/>
      <c r="F30" s="492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>ЕГН:</v>
      </c>
      <c r="I30" s="493" t="str">
        <f ca="1">IF(B30="Общо"," ",IF(OFFSET(РПВ!$FD$8,A43,)=""," ",OFFSET(РПВ!$FD$8,A43,)))</f>
        <v>""</v>
      </c>
      <c r="J30" s="494"/>
    </row>
    <row r="31" spans="1:10" x14ac:dyDescent="0.2">
      <c r="B31" s="369" t="s">
        <v>502</v>
      </c>
      <c r="C31" s="384">
        <f ca="1">OFFSET(РПВ!$J$8,A43,)</f>
        <v>0</v>
      </c>
      <c r="D31" s="450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504</v>
      </c>
      <c r="H31" s="370">
        <f ca="1">OFFSET(РПВ!$DH$8,A43,)</f>
        <v>0</v>
      </c>
      <c r="I31" s="371" t="s">
        <v>505</v>
      </c>
      <c r="J31" s="389">
        <f ca="1">OFFSET(РПВ!$AI$8,A43,)</f>
        <v>0</v>
      </c>
    </row>
    <row r="32" spans="1:10" x14ac:dyDescent="0.2">
      <c r="B32" s="452" t="s">
        <v>607</v>
      </c>
      <c r="C32" s="489" t="str">
        <f ca="1">IF(B30="Общо"," ",IF(OFFSET(РПВ!$G$8,A43,)=""," ",OFFSET(РПВ!$G$8,A43,)))</f>
        <v xml:space="preserve"> </v>
      </c>
      <c r="D32" s="490"/>
      <c r="E32" s="375" t="s">
        <v>503</v>
      </c>
      <c r="F32" s="373">
        <v>0</v>
      </c>
      <c r="G32" s="374" t="s">
        <v>508</v>
      </c>
      <c r="H32" s="373">
        <f ca="1">OFFSET(РПВ!$DR$8,A43,)</f>
        <v>0</v>
      </c>
      <c r="I32" s="375" t="s">
        <v>509</v>
      </c>
      <c r="J32" s="390">
        <f ca="1">OFFSET(РПВ!$AH$8,A43,)</f>
        <v>0</v>
      </c>
    </row>
    <row r="33" spans="1:10" x14ac:dyDescent="0.2">
      <c r="B33" s="372" t="s">
        <v>506</v>
      </c>
      <c r="C33" s="385">
        <f ca="1">IF(B30="Общо","-",OFFSET(РПВ!$Q$8,A43,))</f>
        <v>0</v>
      </c>
      <c r="D33" s="373">
        <f ca="1">OFFSET(РПВ!$R$8,A43,)</f>
        <v>0</v>
      </c>
      <c r="E33" s="374" t="s">
        <v>507</v>
      </c>
      <c r="F33" s="373">
        <f ca="1">OFFSET(РПВ!$Z$8,A43,)</f>
        <v>0</v>
      </c>
      <c r="G33" s="374" t="s">
        <v>512</v>
      </c>
      <c r="H33" s="373">
        <f ca="1">OFFSET(РПВ!$AF$8,A43,)</f>
        <v>0</v>
      </c>
      <c r="I33" s="375" t="s">
        <v>513</v>
      </c>
      <c r="J33" s="390">
        <f ca="1">OFFSET(РПВ!$AJ$8,A43,)</f>
        <v>0</v>
      </c>
    </row>
    <row r="34" spans="1:10" x14ac:dyDescent="0.2">
      <c r="B34" s="372" t="s">
        <v>510</v>
      </c>
      <c r="C34" s="386">
        <f ca="1">IF(B30="Общо","-",OFFSET(РПВ!$N$8,A43,))</f>
        <v>0</v>
      </c>
      <c r="D34" s="373">
        <f ca="1">OFFSET(РПВ!$O$8,A43,)</f>
        <v>0</v>
      </c>
      <c r="E34" s="374" t="s">
        <v>511</v>
      </c>
      <c r="F34" s="373">
        <f ca="1">OFFSET(РПВ!$AA$8,A43,)</f>
        <v>0</v>
      </c>
      <c r="G34" s="374" t="s">
        <v>514</v>
      </c>
      <c r="H34" s="373">
        <f ca="1">OFFSET(РПВ!$DM$8,A43,)+OFFSET(РПВ!$DN$8,A43,)</f>
        <v>0</v>
      </c>
      <c r="I34" s="375" t="s">
        <v>515</v>
      </c>
      <c r="J34" s="390">
        <f ca="1">OFFSET(РПВ!$AK$8,A43,)</f>
        <v>0</v>
      </c>
    </row>
    <row r="35" spans="1:10" x14ac:dyDescent="0.2">
      <c r="B35" s="376" t="s">
        <v>269</v>
      </c>
      <c r="C35" s="394">
        <f ca="1">IF(B30="Общо","-",OFFSET(РПВ!$M$8,A43,))</f>
        <v>0</v>
      </c>
      <c r="D35" s="415"/>
      <c r="E35" s="417" t="s">
        <v>549</v>
      </c>
      <c r="F35" s="373">
        <f ca="1">(OFFSET(РПВ!$CI$8,A43,)+OFFSET(РПВ!$CJ$8,A43,))</f>
        <v>0</v>
      </c>
      <c r="G35" s="377" t="s">
        <v>517</v>
      </c>
      <c r="H35" s="378">
        <f ca="1">OFFSET(РПВ!$FB$8,A43,)</f>
        <v>0</v>
      </c>
      <c r="I35" s="374" t="s">
        <v>518</v>
      </c>
      <c r="J35" s="390">
        <v>0</v>
      </c>
    </row>
    <row r="36" spans="1:10" x14ac:dyDescent="0.2">
      <c r="B36" s="376" t="s">
        <v>516</v>
      </c>
      <c r="C36" s="387"/>
      <c r="D36" s="373">
        <f ca="1">OFFSET(РПВ!$U$8,A43,)</f>
        <v>0</v>
      </c>
      <c r="E36" s="416" t="s">
        <v>548</v>
      </c>
      <c r="F36" s="373">
        <f ca="1">(OFFSET(РПВ!$BG$8,A43,)+OFFSET(РПВ!$BH$8,A43,))</f>
        <v>0</v>
      </c>
      <c r="G36" s="377" t="s">
        <v>520</v>
      </c>
      <c r="H36" s="378">
        <f ca="1">OFFSET(РПВ!$DO$8,A43,)</f>
        <v>0</v>
      </c>
      <c r="I36" s="375" t="s">
        <v>521</v>
      </c>
      <c r="J36" s="390">
        <f ca="1">OFFSET(РПВ!$AL$8,A43,)</f>
        <v>0</v>
      </c>
    </row>
    <row r="37" spans="1:10" x14ac:dyDescent="0.2">
      <c r="B37" s="376" t="s">
        <v>519</v>
      </c>
      <c r="C37" s="387"/>
      <c r="D37" s="373">
        <v>0</v>
      </c>
      <c r="E37" s="374" t="s">
        <v>556</v>
      </c>
      <c r="F37" s="426" t="str">
        <f ca="1">OFFSET(РПВ!$AE$8,A43,)</f>
        <v>не</v>
      </c>
      <c r="G37" s="377" t="s">
        <v>523</v>
      </c>
      <c r="H37" s="378">
        <f ca="1">OFFSET(РПВ!$DQ$8,A43,)</f>
        <v>0</v>
      </c>
      <c r="I37" s="374" t="s">
        <v>455</v>
      </c>
      <c r="J37" s="390">
        <f ca="1">OFFSET(РПВ!$AM$8,A43,)</f>
        <v>0</v>
      </c>
    </row>
    <row r="38" spans="1:10" x14ac:dyDescent="0.2">
      <c r="B38" s="376" t="s">
        <v>522</v>
      </c>
      <c r="C38" s="387"/>
      <c r="D38" s="373">
        <f ca="1">OFFSET(РПВ!$V$8,A43,)</f>
        <v>0</v>
      </c>
      <c r="E38" s="375" t="s">
        <v>537</v>
      </c>
      <c r="F38" s="373">
        <f ca="1">OFFSET(РПВ!$AB$8,A43,)</f>
        <v>0</v>
      </c>
      <c r="G38" s="377" t="s">
        <v>524</v>
      </c>
      <c r="H38" s="378">
        <f ca="1">OFFSET(РПВ!$DP$8,A43,)</f>
        <v>0</v>
      </c>
      <c r="I38" s="375" t="s">
        <v>525</v>
      </c>
      <c r="J38" s="390">
        <f ca="1">OFFSET(РПВ!$AO$8,A43,)</f>
        <v>0</v>
      </c>
    </row>
    <row r="39" spans="1:10" x14ac:dyDescent="0.2">
      <c r="B39" s="376" t="s">
        <v>536</v>
      </c>
      <c r="C39" s="388">
        <f ca="1">IF(B30="Общо","-",OFFSET(РПВ!$S$8,A43,)+OFFSET(РПВ!$W$8,A43,))</f>
        <v>0</v>
      </c>
      <c r="D39" s="373">
        <f ca="1">OFFSET(РПВ!$T$8,A43,)</f>
        <v>0</v>
      </c>
      <c r="E39" s="374" t="s">
        <v>538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527</v>
      </c>
      <c r="H39" s="378">
        <f ca="1">OFFSET(РПВ!$DK$8,A43,)+OFFSET(РПВ!$DL$8,A43,)</f>
        <v>0</v>
      </c>
      <c r="I39" s="375" t="s">
        <v>528</v>
      </c>
      <c r="J39" s="390"/>
    </row>
    <row r="40" spans="1:10" x14ac:dyDescent="0.2">
      <c r="B40" s="376" t="s">
        <v>526</v>
      </c>
      <c r="C40" s="386">
        <f ca="1">IF(B30="Общо","-",OFFSET(РПВ!$W$8,A43,))</f>
        <v>0</v>
      </c>
      <c r="D40" s="373"/>
      <c r="E40" s="374" t="str">
        <f>CONCATENATE("ф. ТЗПБ","  ",TEXT(РПВ!I52,"0,00%"))</f>
        <v>ф. ТЗПБ  0,00%</v>
      </c>
      <c r="F40" s="373">
        <f ca="1">OFFSET(РПВ!$DG$8,A43,)</f>
        <v>0</v>
      </c>
      <c r="G40" s="377" t="s">
        <v>600</v>
      </c>
      <c r="H40" s="378">
        <f ca="1">OFFSET(РПВ!$AG$8,A43,)</f>
        <v>0</v>
      </c>
      <c r="I40" s="374" t="s">
        <v>530</v>
      </c>
      <c r="J40" s="390">
        <f ca="1">OFFSET(РПВ!$AQ$8,A43,)-OFFSET(РПВ!$AX$8,A43,)</f>
        <v>0</v>
      </c>
    </row>
    <row r="41" spans="1:10" x14ac:dyDescent="0.2">
      <c r="B41" s="376" t="s">
        <v>529</v>
      </c>
      <c r="C41" s="386">
        <f ca="1">IF(B30="Общо","-",OFFSET(РПВ!$S$8,A43,))</f>
        <v>0</v>
      </c>
      <c r="D41" s="373">
        <f ca="1">OFFSET(РПВ!$T$8,A43,)</f>
        <v>0</v>
      </c>
      <c r="E41" s="374" t="s">
        <v>532</v>
      </c>
      <c r="F41" s="373">
        <f ca="1">OFFSET(РПВ!$AC$8,A43,)</f>
        <v>0</v>
      </c>
      <c r="G41" s="377" t="s">
        <v>601</v>
      </c>
      <c r="H41" s="378">
        <f ca="1">OFFSET(РПВ!$DI$8,A43,)+OFFSET(РПВ!$DJ$8,A43,)</f>
        <v>0</v>
      </c>
      <c r="I41" s="374" t="s">
        <v>533</v>
      </c>
      <c r="J41" s="390">
        <f ca="1">OFFSET(РПВ!$AX$8,A43,)</f>
        <v>0</v>
      </c>
    </row>
    <row r="42" spans="1:10" ht="13.5" thickBot="1" x14ac:dyDescent="0.25">
      <c r="B42" s="379" t="s">
        <v>531</v>
      </c>
      <c r="C42" s="451">
        <f ca="1">IF(B30="Общо","-",OFFSET(РПВ!$X$8,A43,))</f>
        <v>0</v>
      </c>
      <c r="D42" s="380"/>
      <c r="E42" s="381" t="s">
        <v>534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535</v>
      </c>
      <c r="H42" s="380">
        <f ca="1">OFFSET(РПВ!$Y$8,A43,)</f>
        <v>0</v>
      </c>
      <c r="I42" s="381" t="s">
        <v>178</v>
      </c>
      <c r="J42" s="391"/>
    </row>
    <row r="43" spans="1:10" s="400" customFormat="1" ht="27" customHeight="1" thickBot="1" x14ac:dyDescent="0.25">
      <c r="A43" s="398">
        <v>2</v>
      </c>
      <c r="B43" s="399" t="str">
        <f ca="1">IF(B30="Общо","Дата:"," ")</f>
        <v xml:space="preserve"> </v>
      </c>
      <c r="C43" s="382"/>
      <c r="E43" s="397" t="str">
        <f ca="1">IF(B30="Общо","Счетоводител:"," ")</f>
        <v xml:space="preserve"> </v>
      </c>
      <c r="H43" s="397" t="str">
        <f ca="1">IF(B30="Общо","Управител:"," ")</f>
        <v xml:space="preserve"> </v>
      </c>
    </row>
    <row r="44" spans="1:10" ht="16.5" x14ac:dyDescent="0.3">
      <c r="A44" s="396" t="str">
        <f ca="1">IF(B44="Общо"," ",A57+1)</f>
        <v xml:space="preserve"> </v>
      </c>
      <c r="B44" s="491" t="str">
        <f ca="1">OFFSET(РПВ!$B$8,A57,)</f>
        <v>Общо</v>
      </c>
      <c r="C44" s="492"/>
      <c r="D44" s="492"/>
      <c r="E44" s="492"/>
      <c r="F44" s="492"/>
      <c r="G44" s="383" t="str">
        <f ca="1">IF(B44="Общо"," ",IF(OFFSET(РПВ!$E$8,A57,)=""," ",OFFSET(РПВ!$E$8,A57,)))</f>
        <v xml:space="preserve"> </v>
      </c>
      <c r="H44" s="392" t="str">
        <f ca="1">IF(B44="Общо"," ",IF(I44=" "," ","ЕГН:"))</f>
        <v xml:space="preserve"> </v>
      </c>
      <c r="I44" s="493" t="str">
        <f ca="1">IF(B44="Общо"," ",IF(OFFSET(РПВ!$FD$8,A57,)=""," ",OFFSET(РПВ!$FD$8,A57,)))</f>
        <v xml:space="preserve"> </v>
      </c>
      <c r="J44" s="494"/>
    </row>
    <row r="45" spans="1:10" x14ac:dyDescent="0.2">
      <c r="B45" s="369" t="s">
        <v>502</v>
      </c>
      <c r="C45" s="384" t="str">
        <f ca="1">OFFSET(РПВ!$J$8,A57,)</f>
        <v>-</v>
      </c>
      <c r="D45" s="450">
        <f ca="1">OFFSET(РПВ!$L$8,A57,)</f>
        <v>0</v>
      </c>
      <c r="E45" s="371" t="s">
        <v>64</v>
      </c>
      <c r="F45" s="370">
        <f ca="1">OFFSET(РПВ!$P$8,A57,)</f>
        <v>0</v>
      </c>
      <c r="G45" s="371" t="s">
        <v>504</v>
      </c>
      <c r="H45" s="370">
        <f ca="1">OFFSET(РПВ!$DH$8,A57,)</f>
        <v>0</v>
      </c>
      <c r="I45" s="371" t="s">
        <v>505</v>
      </c>
      <c r="J45" s="389">
        <f ca="1">OFFSET(РПВ!$AI$8,A57,)</f>
        <v>0</v>
      </c>
    </row>
    <row r="46" spans="1:10" x14ac:dyDescent="0.2">
      <c r="B46" s="452" t="s">
        <v>607</v>
      </c>
      <c r="C46" s="489" t="str">
        <f ca="1">IF(B44="Общо"," ",IF(OFFSET(РПВ!$G$8,A57,)=""," ",OFFSET(РПВ!$G$8,A57,)))</f>
        <v xml:space="preserve"> </v>
      </c>
      <c r="D46" s="490"/>
      <c r="E46" s="375" t="s">
        <v>503</v>
      </c>
      <c r="F46" s="373">
        <v>0</v>
      </c>
      <c r="G46" s="374" t="s">
        <v>508</v>
      </c>
      <c r="H46" s="373">
        <f ca="1">OFFSET(РПВ!$DR$8,A57,)</f>
        <v>0</v>
      </c>
      <c r="I46" s="375" t="s">
        <v>509</v>
      </c>
      <c r="J46" s="390">
        <f ca="1">OFFSET(РПВ!$AH$8,A57,)</f>
        <v>0</v>
      </c>
    </row>
    <row r="47" spans="1:10" x14ac:dyDescent="0.2">
      <c r="B47" s="372" t="s">
        <v>506</v>
      </c>
      <c r="C47" s="385" t="str">
        <f ca="1">IF(B44="Общо","-",OFFSET(РПВ!$Q$8,A57,))</f>
        <v>-</v>
      </c>
      <c r="D47" s="373">
        <f ca="1">OFFSET(РПВ!$R$8,A57,)</f>
        <v>0</v>
      </c>
      <c r="E47" s="374" t="s">
        <v>507</v>
      </c>
      <c r="F47" s="373">
        <f ca="1">OFFSET(РПВ!$Z$8,A57,)</f>
        <v>0</v>
      </c>
      <c r="G47" s="374" t="s">
        <v>512</v>
      </c>
      <c r="H47" s="373">
        <f ca="1">OFFSET(РПВ!$AF$8,A57,)</f>
        <v>0</v>
      </c>
      <c r="I47" s="375" t="s">
        <v>513</v>
      </c>
      <c r="J47" s="390">
        <f ca="1">OFFSET(РПВ!$AJ$8,A57,)</f>
        <v>0</v>
      </c>
    </row>
    <row r="48" spans="1:10" x14ac:dyDescent="0.2">
      <c r="B48" s="372" t="s">
        <v>510</v>
      </c>
      <c r="C48" s="386" t="str">
        <f ca="1">IF(B44="Общо","-",OFFSET(РПВ!$N$8,A57,))</f>
        <v>-</v>
      </c>
      <c r="D48" s="373">
        <f ca="1">OFFSET(РПВ!$O$8,A57,)</f>
        <v>0</v>
      </c>
      <c r="E48" s="374" t="s">
        <v>511</v>
      </c>
      <c r="F48" s="373">
        <f ca="1">OFFSET(РПВ!$AA$8,A57,)</f>
        <v>0</v>
      </c>
      <c r="G48" s="374" t="s">
        <v>514</v>
      </c>
      <c r="H48" s="373">
        <f ca="1">OFFSET(РПВ!$DM$8,A57,)+OFFSET(РПВ!$DN$8,A57,)</f>
        <v>0</v>
      </c>
      <c r="I48" s="375" t="s">
        <v>515</v>
      </c>
      <c r="J48" s="390">
        <f ca="1">OFFSET(РПВ!$AK$8,A57,)</f>
        <v>0</v>
      </c>
    </row>
    <row r="49" spans="1:10" x14ac:dyDescent="0.2">
      <c r="B49" s="376" t="s">
        <v>269</v>
      </c>
      <c r="C49" s="394" t="str">
        <f ca="1">IF(B44="Общо","-",OFFSET(РПВ!$M$8,A57,))</f>
        <v>-</v>
      </c>
      <c r="D49" s="415"/>
      <c r="E49" s="417" t="s">
        <v>549</v>
      </c>
      <c r="F49" s="373">
        <f ca="1">(OFFSET(РПВ!$CI$8,A57,)+OFFSET(РПВ!$CJ$8,A57,))</f>
        <v>0</v>
      </c>
      <c r="G49" s="377" t="s">
        <v>517</v>
      </c>
      <c r="H49" s="378">
        <f ca="1">OFFSET(РПВ!$FB$8,A57,)</f>
        <v>0</v>
      </c>
      <c r="I49" s="374" t="s">
        <v>518</v>
      </c>
      <c r="J49" s="390">
        <v>0</v>
      </c>
    </row>
    <row r="50" spans="1:10" x14ac:dyDescent="0.2">
      <c r="B50" s="376" t="s">
        <v>516</v>
      </c>
      <c r="C50" s="387"/>
      <c r="D50" s="373">
        <f ca="1">OFFSET(РПВ!$U$8,A57,)</f>
        <v>0</v>
      </c>
      <c r="E50" s="416" t="s">
        <v>548</v>
      </c>
      <c r="F50" s="373">
        <f ca="1">(OFFSET(РПВ!$BG$8,A57,)+OFFSET(РПВ!$BH$8,A57,))</f>
        <v>0</v>
      </c>
      <c r="G50" s="377" t="s">
        <v>520</v>
      </c>
      <c r="H50" s="378">
        <f ca="1">OFFSET(РПВ!$DO$8,A57,)</f>
        <v>0</v>
      </c>
      <c r="I50" s="375" t="s">
        <v>521</v>
      </c>
      <c r="J50" s="390">
        <f ca="1">OFFSET(РПВ!$AL$8,A57,)</f>
        <v>0</v>
      </c>
    </row>
    <row r="51" spans="1:10" x14ac:dyDescent="0.2">
      <c r="B51" s="376" t="s">
        <v>519</v>
      </c>
      <c r="C51" s="387"/>
      <c r="D51" s="373">
        <v>0</v>
      </c>
      <c r="E51" s="374" t="s">
        <v>556</v>
      </c>
      <c r="F51" s="426" t="str">
        <f ca="1">OFFSET(РПВ!$AE$8,A57,)</f>
        <v>-</v>
      </c>
      <c r="G51" s="377" t="s">
        <v>523</v>
      </c>
      <c r="H51" s="378">
        <f ca="1">OFFSET(РПВ!$DQ$8,A57,)</f>
        <v>0</v>
      </c>
      <c r="I51" s="374" t="s">
        <v>455</v>
      </c>
      <c r="J51" s="390">
        <f ca="1">OFFSET(РПВ!$AM$8,A57,)</f>
        <v>0</v>
      </c>
    </row>
    <row r="52" spans="1:10" x14ac:dyDescent="0.2">
      <c r="B52" s="376" t="s">
        <v>522</v>
      </c>
      <c r="C52" s="387"/>
      <c r="D52" s="373">
        <f ca="1">OFFSET(РПВ!$V$8,A57,)</f>
        <v>0</v>
      </c>
      <c r="E52" s="375" t="s">
        <v>537</v>
      </c>
      <c r="F52" s="373">
        <f ca="1">OFFSET(РПВ!$AB$8,A57,)</f>
        <v>0</v>
      </c>
      <c r="G52" s="377" t="s">
        <v>524</v>
      </c>
      <c r="H52" s="378">
        <f ca="1">OFFSET(РПВ!$DP$8,A57,)</f>
        <v>0</v>
      </c>
      <c r="I52" s="375" t="s">
        <v>525</v>
      </c>
      <c r="J52" s="390">
        <f ca="1">OFFSET(РПВ!$AO$8,A57,)</f>
        <v>0</v>
      </c>
    </row>
    <row r="53" spans="1:10" x14ac:dyDescent="0.2">
      <c r="B53" s="376" t="s">
        <v>536</v>
      </c>
      <c r="C53" s="388" t="str">
        <f ca="1">IF(B44="Общо","-",OFFSET(РПВ!$S$8,A57,)+OFFSET(РПВ!$W$8,A57,))</f>
        <v>-</v>
      </c>
      <c r="D53" s="373">
        <f ca="1">OFFSET(РПВ!$T$8,A57,)</f>
        <v>0</v>
      </c>
      <c r="E53" s="374" t="s">
        <v>538</v>
      </c>
      <c r="F53" s="373">
        <f ca="1">(OFFSET(РПВ!$CM$8,A57,)+OFFSET(РПВ!$CN$8,A57,)+OFFSET(РПВ!$CW$8,A57,)+OFFSET(РПВ!$CX$8,A57,)+OFFSET(РПВ!$CY$8,A57,)+OFFSET(РПВ!$CZ$8,A57,)+OFFSET(РПВ!$DA$8,A57,)+OFFSET(РПВ!$DB$8,A57,)+OFFSET(РПВ!$DC$8,A57,)+OFFSET(РПВ!$DD$8,A57,)+OFFSET(РПВ!$DE$8,A57,)+OFFSET(РПВ!$DF$8,A57,))</f>
        <v>0</v>
      </c>
      <c r="G53" s="377" t="s">
        <v>527</v>
      </c>
      <c r="H53" s="378">
        <f ca="1">OFFSET(РПВ!$DK$8,A57,)+OFFSET(РПВ!$DL$8,A57,)</f>
        <v>0</v>
      </c>
      <c r="I53" s="375" t="s">
        <v>528</v>
      </c>
      <c r="J53" s="390"/>
    </row>
    <row r="54" spans="1:10" x14ac:dyDescent="0.2">
      <c r="B54" s="376" t="s">
        <v>526</v>
      </c>
      <c r="C54" s="386" t="str">
        <f ca="1">IF(B44="Общо","-",OFFSET(РПВ!$W$8,A57,))</f>
        <v>-</v>
      </c>
      <c r="D54" s="373"/>
      <c r="E54" s="374" t="str">
        <f>CONCATENATE("ф. ТЗПБ","  ",TEXT(РПВ!I66,"0,00%"))</f>
        <v>ф. ТЗПБ  0,00%</v>
      </c>
      <c r="F54" s="373">
        <f ca="1">OFFSET(РПВ!$DG$8,A57,)</f>
        <v>0</v>
      </c>
      <c r="G54" s="377" t="s">
        <v>600</v>
      </c>
      <c r="H54" s="378">
        <f ca="1">OFFSET(РПВ!$AG$8,A57,)</f>
        <v>0</v>
      </c>
      <c r="I54" s="374" t="s">
        <v>530</v>
      </c>
      <c r="J54" s="390">
        <f ca="1">OFFSET(РПВ!$AQ$8,A57,)-OFFSET(РПВ!$AX$8,A57,)</f>
        <v>0</v>
      </c>
    </row>
    <row r="55" spans="1:10" x14ac:dyDescent="0.2">
      <c r="B55" s="376" t="s">
        <v>529</v>
      </c>
      <c r="C55" s="386" t="str">
        <f ca="1">IF(B44="Общо","-",OFFSET(РПВ!$S$8,A57,))</f>
        <v>-</v>
      </c>
      <c r="D55" s="373">
        <f ca="1">OFFSET(РПВ!$T$8,A57,)</f>
        <v>0</v>
      </c>
      <c r="E55" s="374" t="s">
        <v>532</v>
      </c>
      <c r="F55" s="373">
        <f ca="1">OFFSET(РПВ!$AC$8,A57,)</f>
        <v>0</v>
      </c>
      <c r="G55" s="377" t="s">
        <v>601</v>
      </c>
      <c r="H55" s="378">
        <f ca="1">OFFSET(РПВ!$DI$8,A57,)+OFFSET(РПВ!$DJ$8,A57,)</f>
        <v>0</v>
      </c>
      <c r="I55" s="374" t="s">
        <v>533</v>
      </c>
      <c r="J55" s="390">
        <f ca="1">OFFSET(РПВ!$AX$8,A57,)</f>
        <v>0</v>
      </c>
    </row>
    <row r="56" spans="1:10" ht="13.5" thickBot="1" x14ac:dyDescent="0.25">
      <c r="B56" s="379" t="s">
        <v>531</v>
      </c>
      <c r="C56" s="451" t="str">
        <f ca="1">IF(B44="Общо","-",OFFSET(РПВ!$X$8,A57,))</f>
        <v>-</v>
      </c>
      <c r="D56" s="380"/>
      <c r="E56" s="381" t="s">
        <v>534</v>
      </c>
      <c r="F56" s="380">
        <f ca="1">OFFSET(РПВ!$CO$8,A57,)+OFFSET(РПВ!$CP$8,A57,)+OFFSET(РПВ!$CQ$8,A57,)+OFFSET(РПВ!$CR$8,A57,)+OFFSET(РПВ!$CS$8,A57,)+OFFSET(РПВ!$CT$8,A57,)+OFFSET(РПВ!$CU$8,A57,)+OFFSET(РПВ!$CV$8,A57,)</f>
        <v>0</v>
      </c>
      <c r="G56" s="381" t="s">
        <v>535</v>
      </c>
      <c r="H56" s="380">
        <f ca="1">OFFSET(РПВ!$Y$8,A57,)</f>
        <v>0</v>
      </c>
      <c r="I56" s="381" t="s">
        <v>178</v>
      </c>
      <c r="J56" s="391"/>
    </row>
    <row r="57" spans="1:10" s="400" customFormat="1" ht="27" customHeight="1" thickBot="1" x14ac:dyDescent="0.25">
      <c r="A57" s="398">
        <v>3</v>
      </c>
      <c r="B57" s="399" t="str">
        <f ca="1">IF(B44="Общо","Дата:"," ")</f>
        <v>Дата:</v>
      </c>
      <c r="C57" s="382"/>
      <c r="E57" s="397" t="str">
        <f ca="1">IF(B44="Общо","Счетоводител:"," ")</f>
        <v>Счетоводител:</v>
      </c>
      <c r="H57" s="397" t="str">
        <f ca="1">IF(B44="Общо","Управител:"," ")</f>
        <v>Управител:</v>
      </c>
    </row>
    <row r="58" spans="1:10" ht="16.5" x14ac:dyDescent="0.3">
      <c r="A58" s="396">
        <f ca="1">IF(B58="Общо"," ",A71+1)</f>
        <v>6</v>
      </c>
      <c r="B58" s="491">
        <f ca="1">OFFSET(РПВ!$B$8,A71,)</f>
        <v>0</v>
      </c>
      <c r="C58" s="492"/>
      <c r="D58" s="492"/>
      <c r="E58" s="492"/>
      <c r="F58" s="492"/>
      <c r="G58" s="383" t="str">
        <f ca="1">IF(B58="Общо"," ",IF(OFFSET(РПВ!$E$8,A71,)=""," ",OFFSET(РПВ!$E$8,A71,)))</f>
        <v xml:space="preserve"> </v>
      </c>
      <c r="H58" s="392" t="str">
        <f ca="1">IF(B58="Общо"," ",IF(I58=" "," ","ЕГН:"))</f>
        <v xml:space="preserve"> </v>
      </c>
      <c r="I58" s="493" t="str">
        <f ca="1">IF(B58="Общо"," ",IF(OFFSET(РПВ!$FD$8,A71,)=""," ",OFFSET(РПВ!$FD$8,A71,)))</f>
        <v xml:space="preserve"> </v>
      </c>
      <c r="J58" s="494"/>
    </row>
    <row r="59" spans="1:10" x14ac:dyDescent="0.2">
      <c r="B59" s="369" t="s">
        <v>502</v>
      </c>
      <c r="C59" s="384">
        <f ca="1">OFFSET(РПВ!$J$8,A71,)</f>
        <v>0</v>
      </c>
      <c r="D59" s="450">
        <f ca="1">OFFSET(РПВ!$L$8,A71,)</f>
        <v>0</v>
      </c>
      <c r="E59" s="371" t="s">
        <v>64</v>
      </c>
      <c r="F59" s="370">
        <f ca="1">OFFSET(РПВ!$P$8,A71,)</f>
        <v>0</v>
      </c>
      <c r="G59" s="371" t="s">
        <v>504</v>
      </c>
      <c r="H59" s="370">
        <f ca="1">OFFSET(РПВ!$DH$8,A71,)</f>
        <v>0</v>
      </c>
      <c r="I59" s="371" t="s">
        <v>505</v>
      </c>
      <c r="J59" s="389">
        <f ca="1">OFFSET(РПВ!$AI$8,A71,)</f>
        <v>0</v>
      </c>
    </row>
    <row r="60" spans="1:10" x14ac:dyDescent="0.2">
      <c r="B60" s="452" t="s">
        <v>607</v>
      </c>
      <c r="C60" s="489" t="str">
        <f ca="1">IF(B58="Общо"," ",IF(OFFSET(РПВ!$G$8,A71,)=""," ",OFFSET(РПВ!$G$8,A71,)))</f>
        <v xml:space="preserve"> </v>
      </c>
      <c r="D60" s="490"/>
      <c r="E60" s="375" t="s">
        <v>503</v>
      </c>
      <c r="F60" s="373">
        <v>0</v>
      </c>
      <c r="G60" s="374" t="s">
        <v>508</v>
      </c>
      <c r="H60" s="373">
        <f ca="1">OFFSET(РПВ!$DR$8,A71,)</f>
        <v>0</v>
      </c>
      <c r="I60" s="375" t="s">
        <v>509</v>
      </c>
      <c r="J60" s="390">
        <f ca="1">OFFSET(РПВ!$AH$8,A71,)</f>
        <v>0</v>
      </c>
    </row>
    <row r="61" spans="1:10" x14ac:dyDescent="0.2">
      <c r="B61" s="372" t="s">
        <v>506</v>
      </c>
      <c r="C61" s="385">
        <f ca="1">IF(B58="Общо","-",OFFSET(РПВ!$Q$8,A71,))</f>
        <v>0</v>
      </c>
      <c r="D61" s="373">
        <f ca="1">OFFSET(РПВ!$R$8,A71,)</f>
        <v>0</v>
      </c>
      <c r="E61" s="374" t="s">
        <v>507</v>
      </c>
      <c r="F61" s="373">
        <f ca="1">OFFSET(РПВ!$Z$8,A71,)</f>
        <v>0</v>
      </c>
      <c r="G61" s="374" t="s">
        <v>512</v>
      </c>
      <c r="H61" s="373">
        <f ca="1">OFFSET(РПВ!$AF$8,A71,)</f>
        <v>0</v>
      </c>
      <c r="I61" s="375" t="s">
        <v>513</v>
      </c>
      <c r="J61" s="390">
        <f ca="1">OFFSET(РПВ!$AJ$8,A71,)</f>
        <v>0</v>
      </c>
    </row>
    <row r="62" spans="1:10" x14ac:dyDescent="0.2">
      <c r="B62" s="372" t="s">
        <v>510</v>
      </c>
      <c r="C62" s="386">
        <f ca="1">IF(B58="Общо","-",OFFSET(РПВ!$N$8,A71,))</f>
        <v>0</v>
      </c>
      <c r="D62" s="373">
        <f ca="1">OFFSET(РПВ!$O$8,A71,)</f>
        <v>0</v>
      </c>
      <c r="E62" s="374" t="s">
        <v>511</v>
      </c>
      <c r="F62" s="373">
        <f ca="1">OFFSET(РПВ!$AA$8,A71,)</f>
        <v>0</v>
      </c>
      <c r="G62" s="374" t="s">
        <v>514</v>
      </c>
      <c r="H62" s="373">
        <f ca="1">OFFSET(РПВ!$DM$8,A71,)+OFFSET(РПВ!$DN$8,A71,)</f>
        <v>0</v>
      </c>
      <c r="I62" s="375" t="s">
        <v>515</v>
      </c>
      <c r="J62" s="390">
        <f ca="1">OFFSET(РПВ!$AK$8,A71,)</f>
        <v>0</v>
      </c>
    </row>
    <row r="63" spans="1:10" x14ac:dyDescent="0.2">
      <c r="B63" s="376" t="s">
        <v>269</v>
      </c>
      <c r="C63" s="394">
        <f ca="1">IF(B58="Общо","-",OFFSET(РПВ!$M$8,A71,))</f>
        <v>0</v>
      </c>
      <c r="D63" s="415"/>
      <c r="E63" s="417" t="s">
        <v>549</v>
      </c>
      <c r="F63" s="373">
        <f ca="1">(OFFSET(РПВ!$CI$8,A71,)+OFFSET(РПВ!$CJ$8,A71,))</f>
        <v>0</v>
      </c>
      <c r="G63" s="377" t="s">
        <v>517</v>
      </c>
      <c r="H63" s="378">
        <f ca="1">OFFSET(РПВ!$FB$8,A71,)</f>
        <v>0</v>
      </c>
      <c r="I63" s="374" t="s">
        <v>518</v>
      </c>
      <c r="J63" s="390">
        <v>0</v>
      </c>
    </row>
    <row r="64" spans="1:10" x14ac:dyDescent="0.2">
      <c r="B64" s="376" t="s">
        <v>516</v>
      </c>
      <c r="C64" s="387"/>
      <c r="D64" s="373">
        <f ca="1">OFFSET(РПВ!$U$8,A71,)</f>
        <v>0</v>
      </c>
      <c r="E64" s="416" t="s">
        <v>548</v>
      </c>
      <c r="F64" s="373">
        <f ca="1">(OFFSET(РПВ!$BG$8,A71,)+OFFSET(РПВ!$BH$8,A71,))</f>
        <v>0</v>
      </c>
      <c r="G64" s="377" t="s">
        <v>520</v>
      </c>
      <c r="H64" s="378">
        <f ca="1">OFFSET(РПВ!$DO$8,A71,)</f>
        <v>0</v>
      </c>
      <c r="I64" s="375" t="s">
        <v>521</v>
      </c>
      <c r="J64" s="390">
        <f ca="1">OFFSET(РПВ!$AL$8,A71,)</f>
        <v>0</v>
      </c>
    </row>
    <row r="65" spans="1:10" x14ac:dyDescent="0.2">
      <c r="B65" s="376" t="s">
        <v>519</v>
      </c>
      <c r="C65" s="387"/>
      <c r="D65" s="373">
        <v>0</v>
      </c>
      <c r="E65" s="374" t="s">
        <v>556</v>
      </c>
      <c r="F65" s="426">
        <f ca="1">OFFSET(РПВ!$AE$8,A71,)</f>
        <v>0</v>
      </c>
      <c r="G65" s="377" t="s">
        <v>523</v>
      </c>
      <c r="H65" s="378">
        <f ca="1">OFFSET(РПВ!$DQ$8,A71,)</f>
        <v>0</v>
      </c>
      <c r="I65" s="374" t="s">
        <v>455</v>
      </c>
      <c r="J65" s="390">
        <f ca="1">OFFSET(РПВ!$AM$8,A71,)</f>
        <v>0</v>
      </c>
    </row>
    <row r="66" spans="1:10" x14ac:dyDescent="0.2">
      <c r="B66" s="376" t="s">
        <v>522</v>
      </c>
      <c r="C66" s="387"/>
      <c r="D66" s="373">
        <f ca="1">OFFSET(РПВ!$V$8,A71,)</f>
        <v>0</v>
      </c>
      <c r="E66" s="375" t="s">
        <v>537</v>
      </c>
      <c r="F66" s="373">
        <f ca="1">OFFSET(РПВ!$AB$8,A71,)</f>
        <v>0</v>
      </c>
      <c r="G66" s="377" t="s">
        <v>524</v>
      </c>
      <c r="H66" s="378">
        <f ca="1">OFFSET(РПВ!$DP$8,A71,)</f>
        <v>0</v>
      </c>
      <c r="I66" s="375" t="s">
        <v>525</v>
      </c>
      <c r="J66" s="390">
        <f ca="1">OFFSET(РПВ!$AO$8,A71,)</f>
        <v>0</v>
      </c>
    </row>
    <row r="67" spans="1:10" x14ac:dyDescent="0.2">
      <c r="B67" s="376" t="s">
        <v>536</v>
      </c>
      <c r="C67" s="388">
        <f ca="1">IF(B58="Общо","-",OFFSET(РПВ!$S$8,A71,)+OFFSET(РПВ!$W$8,A71,))</f>
        <v>0</v>
      </c>
      <c r="D67" s="373">
        <f ca="1">OFFSET(РПВ!$T$8,A71,)</f>
        <v>0</v>
      </c>
      <c r="E67" s="374" t="s">
        <v>538</v>
      </c>
      <c r="F67" s="373">
        <f ca="1">(OFFSET(РПВ!$CM$8,A71,)+OFFSET(РПВ!$CN$8,A71,)+OFFSET(РПВ!$CW$8,A71,)+OFFSET(РПВ!$CX$8,A71,)+OFFSET(РПВ!$CY$8,A71,)+OFFSET(РПВ!$CZ$8,A71,)+OFFSET(РПВ!$DA$8,A71,)+OFFSET(РПВ!$DB$8,A71,)+OFFSET(РПВ!$DC$8,A71,)+OFFSET(РПВ!$DD$8,A71,)+OFFSET(РПВ!$DE$8,A71,)+OFFSET(РПВ!$DF$8,A71,))</f>
        <v>0</v>
      </c>
      <c r="G67" s="377" t="s">
        <v>527</v>
      </c>
      <c r="H67" s="378">
        <f ca="1">OFFSET(РПВ!$DK$8,A71,)+OFFSET(РПВ!$DL$8,A71,)</f>
        <v>0</v>
      </c>
      <c r="I67" s="375" t="s">
        <v>528</v>
      </c>
      <c r="J67" s="390"/>
    </row>
    <row r="68" spans="1:10" x14ac:dyDescent="0.2">
      <c r="B68" s="376" t="s">
        <v>526</v>
      </c>
      <c r="C68" s="386">
        <f ca="1">IF(B58="Общо","-",OFFSET(РПВ!$W$8,A71,))</f>
        <v>0</v>
      </c>
      <c r="D68" s="373"/>
      <c r="E68" s="374" t="str">
        <f>CONCATENATE("ф. ТЗПБ","  ",TEXT(РПВ!I80,"0,00%"))</f>
        <v>ф. ТЗПБ  0,00%</v>
      </c>
      <c r="F68" s="373">
        <f ca="1">OFFSET(РПВ!$DG$8,A71,)</f>
        <v>0</v>
      </c>
      <c r="G68" s="377" t="s">
        <v>600</v>
      </c>
      <c r="H68" s="378">
        <f ca="1">OFFSET(РПВ!$AG$8,A71,)</f>
        <v>0</v>
      </c>
      <c r="I68" s="374" t="s">
        <v>530</v>
      </c>
      <c r="J68" s="390">
        <f ca="1">OFFSET(РПВ!$AQ$8,A71,)-OFFSET(РПВ!$AX$8,A71,)</f>
        <v>0</v>
      </c>
    </row>
    <row r="69" spans="1:10" x14ac:dyDescent="0.2">
      <c r="B69" s="376" t="s">
        <v>529</v>
      </c>
      <c r="C69" s="386">
        <f ca="1">IF(B58="Общо","-",OFFSET(РПВ!$S$8,A71,))</f>
        <v>0</v>
      </c>
      <c r="D69" s="373">
        <f ca="1">OFFSET(РПВ!$T$8,A71,)</f>
        <v>0</v>
      </c>
      <c r="E69" s="374" t="s">
        <v>532</v>
      </c>
      <c r="F69" s="373">
        <f ca="1">OFFSET(РПВ!$AC$8,A71,)</f>
        <v>0</v>
      </c>
      <c r="G69" s="377" t="s">
        <v>601</v>
      </c>
      <c r="H69" s="378">
        <f ca="1">OFFSET(РПВ!$DI$8,A71,)+OFFSET(РПВ!$DJ$8,A71,)</f>
        <v>0</v>
      </c>
      <c r="I69" s="374" t="s">
        <v>533</v>
      </c>
      <c r="J69" s="390">
        <f ca="1">OFFSET(РПВ!$AX$8,A71,)</f>
        <v>0</v>
      </c>
    </row>
    <row r="70" spans="1:10" ht="13.5" thickBot="1" x14ac:dyDescent="0.25">
      <c r="B70" s="379" t="s">
        <v>531</v>
      </c>
      <c r="C70" s="451">
        <f ca="1">IF(B58="Общо","-",OFFSET(РПВ!$X$8,A71,))</f>
        <v>0</v>
      </c>
      <c r="D70" s="380"/>
      <c r="E70" s="381" t="s">
        <v>534</v>
      </c>
      <c r="F70" s="380">
        <f ca="1">OFFSET(РПВ!$CO$8,A71,)+OFFSET(РПВ!$CP$8,A71,)+OFFSET(РПВ!$CQ$8,A71,)+OFFSET(РПВ!$CR$8,A71,)+OFFSET(РПВ!$CS$8,A71,)+OFFSET(РПВ!$CT$8,A71,)+OFFSET(РПВ!$CU$8,A71,)+OFFSET(РПВ!$CV$8,A71,)</f>
        <v>0</v>
      </c>
      <c r="G70" s="381" t="s">
        <v>535</v>
      </c>
      <c r="H70" s="380">
        <f ca="1">OFFSET(РПВ!$Y$8,A71,)</f>
        <v>0</v>
      </c>
      <c r="I70" s="381" t="s">
        <v>178</v>
      </c>
      <c r="J70" s="391"/>
    </row>
    <row r="71" spans="1:10" s="400" customFormat="1" ht="27" customHeight="1" x14ac:dyDescent="0.2">
      <c r="A71" s="398">
        <v>5</v>
      </c>
      <c r="B71" s="399" t="str">
        <f ca="1">IF(B58="Общо","Дата:"," ")</f>
        <v xml:space="preserve"> </v>
      </c>
      <c r="C71" s="382"/>
      <c r="E71" s="397" t="str">
        <f ca="1">IF(B58="Общо","Счетоводител:"," ")</f>
        <v xml:space="preserve"> </v>
      </c>
      <c r="H71" s="397" t="str">
        <f ca="1">IF(B58="Общо","Управител:"," ")</f>
        <v xml:space="preserve"> </v>
      </c>
    </row>
  </sheetData>
  <mergeCells count="15">
    <mergeCell ref="I2:J2"/>
    <mergeCell ref="B2:F2"/>
    <mergeCell ref="C4:D4"/>
    <mergeCell ref="B16:F16"/>
    <mergeCell ref="I16:J16"/>
    <mergeCell ref="C18:D18"/>
    <mergeCell ref="B30:F30"/>
    <mergeCell ref="I30:J30"/>
    <mergeCell ref="C60:D60"/>
    <mergeCell ref="C32:D32"/>
    <mergeCell ref="B44:F44"/>
    <mergeCell ref="I44:J44"/>
    <mergeCell ref="C46:D46"/>
    <mergeCell ref="B58:F58"/>
    <mergeCell ref="I58:J58"/>
  </mergeCells>
  <pageMargins left="0.51181102362204722" right="0.31496062992125984" top="0.86614173228346458" bottom="0.74803149606299213" header="0.31496062992125984" footer="0.31496062992125984"/>
  <pageSetup paperSize="9" scale="92" fitToHeight="0" orientation="portrait" verticalDpi="1200" r:id="rId1"/>
  <headerFooter>
    <oddHeader>&amp;R&amp;B&amp;12 Булстат 
987654321&amp;C&amp;B&amp;16 РАЗЧЕТНО-ПЛАТЕЖНА ВЕДОМОСТ
&amp;B&amp;I&amp;16 на Проба ЕООД за месец юни 2021 год.</oddHeader>
    <oddFooter>&amp;R&amp;B&amp;10 стр. &amp;P от &amp;N&amp;L&amp;10&amp;B Генерирано чрез TROX РПВ
 вер.2021,01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B2" sqref="B2"/>
    </sheetView>
  </sheetViews>
  <sheetFormatPr defaultColWidth="9.140625"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38</v>
      </c>
      <c r="C1" s="47"/>
      <c r="D1" s="47"/>
      <c r="F1" s="11" t="s">
        <v>295</v>
      </c>
      <c r="G1" s="48"/>
      <c r="L1" s="46"/>
      <c r="M1" s="47"/>
      <c r="N1" s="47"/>
      <c r="Q1" s="48" t="s">
        <v>299</v>
      </c>
    </row>
    <row r="2" spans="1:18" ht="12.75" customHeight="1" x14ac:dyDescent="0.2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">
      <c r="B3" s="500" t="str">
        <f>РПВ!L2</f>
        <v>Проба ЕООД</v>
      </c>
      <c r="C3" s="500"/>
      <c r="D3" s="500"/>
      <c r="E3" s="500"/>
      <c r="F3" s="500"/>
      <c r="G3" s="500"/>
      <c r="H3" s="500"/>
      <c r="J3" s="168"/>
      <c r="L3" s="500" t="str">
        <f>B3</f>
        <v>Проба ЕООД</v>
      </c>
      <c r="M3" s="500"/>
      <c r="N3" s="500"/>
      <c r="O3" s="500"/>
      <c r="P3" s="500"/>
      <c r="Q3" s="500"/>
      <c r="R3" s="500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502">
        <f>VLOOKUP($A$1,РПВ!$A$8:$AT$10,2,FALSE)</f>
        <v>0</v>
      </c>
      <c r="C5" s="502"/>
      <c r="D5" s="502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2">
        <f>B5</f>
        <v>0</v>
      </c>
      <c r="M5" s="502"/>
      <c r="N5" s="502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496" t="str">
        <f>VLOOKUP(H5,Систем!A31:C39,2,FALSE)</f>
        <v>Работник - 3-та категория. Осигурен за всички случаи</v>
      </c>
      <c r="C6" s="496"/>
      <c r="D6" s="496"/>
      <c r="E6" s="496"/>
      <c r="F6" s="496"/>
      <c r="G6" s="496"/>
      <c r="H6" s="496"/>
      <c r="J6" s="168"/>
      <c r="L6" s="496" t="str">
        <f>B6</f>
        <v>Работник - 3-та категория. Осигурен за всички случаи</v>
      </c>
      <c r="M6" s="496"/>
      <c r="N6" s="496"/>
      <c r="O6" s="496"/>
      <c r="P6" s="496"/>
      <c r="Q6" s="496"/>
      <c r="R6" s="496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58</v>
      </c>
      <c r="C8" s="497" t="str">
        <f>РПВ!AN2</f>
        <v>март</v>
      </c>
      <c r="D8" s="497"/>
      <c r="E8" s="497" t="str">
        <f>РПВ!AO2</f>
        <v>2025</v>
      </c>
      <c r="F8" s="497"/>
      <c r="G8" s="45" t="str">
        <f>CONCATENATE(РПВ!AF2," ",rabdni)</f>
        <v>работни дни: 22</v>
      </c>
      <c r="H8" s="45"/>
      <c r="J8" s="168"/>
      <c r="L8" s="45" t="str">
        <f>B8</f>
        <v>Възнаграждение за месец</v>
      </c>
      <c r="M8" s="497" t="str">
        <f>C8</f>
        <v>март</v>
      </c>
      <c r="N8" s="497"/>
      <c r="O8" s="497" t="str">
        <f>E8</f>
        <v>2025</v>
      </c>
      <c r="P8" s="497"/>
      <c r="Q8" s="45" t="str">
        <f>G8</f>
        <v>работни дни: 22</v>
      </c>
      <c r="R8" s="45"/>
    </row>
    <row r="9" spans="1:18" ht="12.75" customHeight="1" x14ac:dyDescent="0.2">
      <c r="B9" s="47"/>
      <c r="C9" s="47"/>
      <c r="D9" s="47"/>
      <c r="J9" s="168"/>
      <c r="L9" s="47"/>
      <c r="M9" s="47"/>
      <c r="N9" s="47"/>
    </row>
    <row r="10" spans="1:18" ht="12.75" customHeight="1" x14ac:dyDescent="0.2">
      <c r="B10" s="501" t="str">
        <f>CONCATENATE(print,"       |         spumpala@gmail.com")</f>
        <v>вер.2025,03      TROX     http://www.trox-bg.com       |         spumpala@gmail.com</v>
      </c>
      <c r="C10" s="501"/>
      <c r="D10" s="501"/>
      <c r="E10" s="501"/>
      <c r="F10" s="501"/>
      <c r="G10" s="501"/>
      <c r="H10" s="501"/>
      <c r="J10" s="168"/>
      <c r="L10" s="501" t="str">
        <f>B10</f>
        <v>вер.2025,03      TROX     http://www.trox-bg.com       |         spumpala@gmail.com</v>
      </c>
      <c r="M10" s="501"/>
      <c r="N10" s="501"/>
      <c r="O10" s="501"/>
      <c r="P10" s="501"/>
      <c r="Q10" s="501"/>
      <c r="R10" s="501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4" t="s">
        <v>297</v>
      </c>
      <c r="C12" s="507">
        <f>VLOOKUP($A$1,РПВ!$A$8:$AT$10,7,FALSE)</f>
        <v>0</v>
      </c>
      <c r="D12" s="507"/>
      <c r="E12" s="507"/>
      <c r="F12" s="508" t="s">
        <v>296</v>
      </c>
      <c r="G12" s="509"/>
      <c r="H12" s="170">
        <f>VLOOKUP($A$1,РПВ!$A$8:$AT$10,17,FALSE)</f>
        <v>0</v>
      </c>
      <c r="J12" s="168"/>
      <c r="L12" s="53" t="str">
        <f>B12</f>
        <v>Трудов стаж години/месеци/дни</v>
      </c>
      <c r="M12" s="507">
        <f>C12</f>
        <v>0</v>
      </c>
      <c r="N12" s="507"/>
      <c r="O12" s="507"/>
      <c r="P12" s="508" t="str">
        <f>F12</f>
        <v>% за труд.възнагр. за стаж</v>
      </c>
      <c r="Q12" s="509"/>
      <c r="R12" s="170">
        <f>H12</f>
        <v>0</v>
      </c>
    </row>
    <row r="13" spans="1:18" ht="12.75" customHeight="1" x14ac:dyDescent="0.2">
      <c r="B13" s="53" t="s">
        <v>1</v>
      </c>
      <c r="C13" s="499">
        <f>VLOOKUP($A$1,РПВ!$A$8:$AT$10,5,FALSE)</f>
        <v>0</v>
      </c>
      <c r="D13" s="499"/>
      <c r="E13" s="499"/>
      <c r="F13" s="499"/>
      <c r="G13" s="53"/>
      <c r="H13" s="54"/>
      <c r="J13" s="168"/>
      <c r="L13" s="53" t="str">
        <f>B13</f>
        <v>Длъжност</v>
      </c>
      <c r="M13" s="499">
        <f>C13</f>
        <v>0</v>
      </c>
      <c r="N13" s="499"/>
      <c r="O13" s="499"/>
      <c r="P13" s="499"/>
      <c r="Q13" s="53"/>
      <c r="R13" s="54"/>
    </row>
    <row r="14" spans="1:18" ht="12.75" customHeight="1" x14ac:dyDescent="0.2">
      <c r="B14" s="164" t="s">
        <v>271</v>
      </c>
      <c r="C14" s="55"/>
      <c r="D14" s="56">
        <f>VLOOKUP($A$1,РПВ!$A$8:$AT$10,9,FALSE)</f>
        <v>0</v>
      </c>
      <c r="E14" s="57"/>
      <c r="F14" s="498" t="s">
        <v>30</v>
      </c>
      <c r="G14" s="498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8" t="str">
        <f>F14</f>
        <v>Осигурителен доход</v>
      </c>
      <c r="Q14" s="498"/>
      <c r="R14" s="58">
        <f>H14</f>
        <v>0</v>
      </c>
    </row>
    <row r="15" spans="1:18" ht="12.75" customHeight="1" x14ac:dyDescent="0.2">
      <c r="B15" s="53" t="s">
        <v>52</v>
      </c>
      <c r="C15" s="55"/>
      <c r="D15" s="59">
        <f>VLOOKUP($A$1,РПВ!$A$8:$AT$10,10,FALSE)</f>
        <v>0</v>
      </c>
      <c r="E15" s="57"/>
      <c r="F15" s="509" t="s">
        <v>142</v>
      </c>
      <c r="G15" s="509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8" t="str">
        <f>F15</f>
        <v>Данъчна основа</v>
      </c>
      <c r="Q15" s="498"/>
      <c r="R15" s="58">
        <f>H15</f>
        <v>0</v>
      </c>
    </row>
    <row r="16" spans="1:18" ht="12.75" customHeight="1" x14ac:dyDescent="0.2">
      <c r="B16" s="53" t="s">
        <v>59</v>
      </c>
      <c r="D16" s="60">
        <f>VLOOKUP($A$1,РПВ!$A$8:$AT$10,11,FALSE)</f>
        <v>0</v>
      </c>
      <c r="E16" s="63"/>
      <c r="F16" s="510" t="s">
        <v>110</v>
      </c>
      <c r="G16" s="510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8" t="str">
        <f>F16</f>
        <v>Минимален осиг. доход</v>
      </c>
      <c r="Q16" s="498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495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495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495" t="str">
        <f t="shared" ref="P20:P29" si="0">F20</f>
        <v>Фондове ДОО / 10,58 %</v>
      </c>
      <c r="Q20" s="495"/>
      <c r="R20" s="58">
        <f>H20</f>
        <v>0</v>
      </c>
    </row>
    <row r="21" spans="2:18" ht="12.75" customHeight="1" x14ac:dyDescent="0.2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495" t="s">
        <v>555</v>
      </c>
      <c r="G21" s="495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495" t="str">
        <f t="shared" si="0"/>
        <v>Ф. Пенсии в/у соц. р/ди</v>
      </c>
      <c r="Q21" s="495"/>
      <c r="R21" s="58">
        <f t="shared" ref="R21:R29" si="4">H21</f>
        <v>0</v>
      </c>
    </row>
    <row r="22" spans="2:18" ht="12.75" customHeight="1" x14ac:dyDescent="0.2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4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4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4" t="str">
        <f>F22</f>
        <v>ДЗПО-УПФ или Ф.Пенсии/ 0 %</v>
      </c>
      <c r="Q22" s="424"/>
      <c r="R22" s="58">
        <f t="shared" ref="P22:R24" si="5">H22</f>
        <v>0</v>
      </c>
    </row>
    <row r="23" spans="2:18" ht="12.75" customHeight="1" x14ac:dyDescent="0.2">
      <c r="B23" s="165" t="s">
        <v>272</v>
      </c>
      <c r="C23" s="169" t="s">
        <v>28</v>
      </c>
      <c r="D23" s="58">
        <f>VLOOKUP($A$1,РПВ!$A$8:$AT$10,18,FALSE)</f>
        <v>0</v>
      </c>
      <c r="E23" s="55"/>
      <c r="F23" s="425" t="str">
        <f>IF(VLOOKUP($A$1,РПВ!$A$8:$AT$10,31,FALSE)="да","няма"," ")</f>
        <v xml:space="preserve"> </v>
      </c>
      <c r="G23" s="424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5" t="str">
        <f t="shared" si="5"/>
        <v xml:space="preserve"> </v>
      </c>
      <c r="Q23" s="424" t="str">
        <f t="shared" si="5"/>
        <v>Здр. осиг. вноска / 3,2 %</v>
      </c>
      <c r="R23" s="58">
        <f t="shared" si="5"/>
        <v>0</v>
      </c>
    </row>
    <row r="24" spans="2:18" ht="12.75" customHeight="1" x14ac:dyDescent="0.2">
      <c r="B24" s="11" t="s">
        <v>145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269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">
      <c r="B25" s="55" t="s">
        <v>61</v>
      </c>
      <c r="C25" s="70">
        <f>VLOOKUP($A$1,РПВ!$A$8:$AT$10,23,FALSE)</f>
        <v>0</v>
      </c>
      <c r="D25" s="84" t="s">
        <v>28</v>
      </c>
      <c r="E25" s="55"/>
      <c r="F25" s="495" t="str">
        <f>CONCATENATE("ДОД по чл. 42 ЗДДФЛ")</f>
        <v>ДОД по чл. 42 ЗДДФЛ</v>
      </c>
      <c r="G25" s="495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495" t="str">
        <f>F25</f>
        <v>ДОД по чл. 42 ЗДДФЛ</v>
      </c>
      <c r="Q25" s="495"/>
      <c r="R25" s="58">
        <f>H25</f>
        <v>0</v>
      </c>
    </row>
    <row r="26" spans="2:18" ht="12.75" customHeight="1" x14ac:dyDescent="0.2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293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495" t="s">
        <v>33</v>
      </c>
      <c r="G28" s="495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495" t="str">
        <f t="shared" si="0"/>
        <v>Месечен аванс</v>
      </c>
      <c r="Q28" s="495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504" t="s">
        <v>3</v>
      </c>
      <c r="G29" s="504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495" t="str">
        <f t="shared" si="0"/>
        <v>Доброволни удръжки</v>
      </c>
      <c r="Q29" s="495"/>
      <c r="R29" s="58">
        <f t="shared" si="4"/>
        <v>0</v>
      </c>
    </row>
    <row r="30" spans="2:18" ht="12.75" customHeight="1" x14ac:dyDescent="0.2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505" t="str">
        <f>IF(VLOOKUP($A$1,РПВ!$A$8:$BA$10,49,FALSE)="да",CONCATENATE("Безкасово изплатена сума "),"")</f>
        <v/>
      </c>
      <c r="G32" s="505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05" t="str">
        <f>F32</f>
        <v/>
      </c>
      <c r="Q32" s="505"/>
      <c r="R32" s="58" t="str">
        <f>H32</f>
        <v/>
      </c>
    </row>
    <row r="33" spans="2:18" ht="12.75" customHeight="1" x14ac:dyDescent="0.2">
      <c r="B33" s="166" t="s">
        <v>458</v>
      </c>
      <c r="D33" s="83">
        <f>VLOOKUP($A$1,РПВ!$A$8:$AT$10,35,FALSE)</f>
        <v>0</v>
      </c>
      <c r="F33" s="503" t="str">
        <f>IF(VLOOKUP($A$1,РПВ!$A$8:$BA$10,49,FALSE)="да",CONCATENATE("преведена по с/ка ",VLOOKUP($A$1,РПВ!$A$8:$BA$10,51,FALSE)),"")</f>
        <v/>
      </c>
      <c r="G33" s="503"/>
      <c r="H33" s="503"/>
      <c r="J33" s="168"/>
      <c r="L33" s="11" t="str">
        <f>B33</f>
        <v>Суми, в/у които се дължи ДОД</v>
      </c>
      <c r="N33" s="58">
        <f>D33</f>
        <v>0</v>
      </c>
      <c r="P33" s="503" t="str">
        <f>F33</f>
        <v/>
      </c>
      <c r="Q33" s="503"/>
      <c r="R33" s="503"/>
    </row>
    <row r="34" spans="2:18" ht="12.75" customHeight="1" thickBot="1" x14ac:dyDescent="0.25">
      <c r="B34" s="166"/>
      <c r="D34" s="83"/>
      <c r="F34" s="503" t="str">
        <f>IF(VLOOKUP($A$1,РПВ!$A$8:$BA$10,52,FALSE)="","",CONCATENATE("в банка ",VLOOKUP($A$1,РПВ!$A$8:$BA$10,52,FALSE)," с код ",VLOOKUP($A$1,РПВ!$A$8:$BA$10,53,FALSE),))</f>
        <v/>
      </c>
      <c r="G34" s="503"/>
      <c r="H34" s="503"/>
      <c r="J34" s="168"/>
      <c r="N34" s="58"/>
      <c r="P34" s="503" t="str">
        <f>F34</f>
        <v/>
      </c>
      <c r="Q34" s="503"/>
      <c r="R34" s="503"/>
    </row>
    <row r="35" spans="2:18" ht="12.75" hidden="1" customHeight="1" x14ac:dyDescent="0.2">
      <c r="J35" s="168"/>
    </row>
    <row r="36" spans="2:18" ht="12.75" customHeight="1" thickBot="1" x14ac:dyDescent="0.25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335" t="s">
        <v>493</v>
      </c>
      <c r="C38" s="78"/>
      <c r="D38" s="79">
        <f>D36-H36</f>
        <v>0</v>
      </c>
      <c r="E38" s="78"/>
      <c r="F38" s="78"/>
      <c r="G38" s="506" t="s">
        <v>74</v>
      </c>
      <c r="H38" s="506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06" t="str">
        <f>G38</f>
        <v>Подпис                   ……….……….</v>
      </c>
      <c r="R38" s="506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">
      <c r="B40" s="501" t="str">
        <f>CONCATENATE(print,"       |         spumpala@abv.bg")</f>
        <v>вер.2025,03      TROX     http://www.trox-bg.com       |         spumpala@abv.bg</v>
      </c>
      <c r="C40" s="501"/>
      <c r="D40" s="501"/>
      <c r="E40" s="501"/>
      <c r="F40" s="501"/>
      <c r="G40" s="501"/>
      <c r="H40" s="501"/>
      <c r="J40" s="168"/>
      <c r="L40" s="501" t="str">
        <f>B40</f>
        <v>вер.2025,03      TROX     http://www.trox-bg.com       |         spumpala@abv.bg</v>
      </c>
      <c r="M40" s="501"/>
      <c r="N40" s="501"/>
      <c r="O40" s="501"/>
      <c r="P40" s="501"/>
      <c r="Q40" s="501"/>
      <c r="R40" s="501"/>
    </row>
  </sheetData>
  <mergeCells count="44">
    <mergeCell ref="F14:G14"/>
    <mergeCell ref="C13:F13"/>
    <mergeCell ref="C12:E12"/>
    <mergeCell ref="C8:D8"/>
    <mergeCell ref="F12:G12"/>
    <mergeCell ref="E8:F8"/>
    <mergeCell ref="F28:G28"/>
    <mergeCell ref="F21:G21"/>
    <mergeCell ref="F25:G25"/>
    <mergeCell ref="F20:G20"/>
    <mergeCell ref="F15:G15"/>
    <mergeCell ref="F16:G16"/>
    <mergeCell ref="L3:R3"/>
    <mergeCell ref="L10:R10"/>
    <mergeCell ref="M12:O12"/>
    <mergeCell ref="P12:Q12"/>
    <mergeCell ref="L5:N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</mergeCells>
  <phoneticPr fontId="7" type="noConversion"/>
  <pageMargins left="0.55118110236220474" right="0.55118110236220474" top="0.98425196850393704" bottom="0.98425196850393704" header="0.51181102362204722" footer="0.51181102362204722"/>
  <pageSetup paperSize="9" scale="78" orientation="landscape" horizontalDpi="240" verticalDpi="144" r:id="rId1"/>
  <headerFooter alignWithMargins="0">
    <oddHeader>&amp;L&amp;8&amp;B&amp;I Генерирано чрез TROX РПВ вер.2025,03</oddHeader>
    <oddFooter>&amp;R&amp;8&amp;B&amp;I Генерирано чрез TROX РПВ вер.2025,03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zoomScaleNormal="100" workbookViewId="0">
      <selection activeCell="C32" sqref="C32"/>
    </sheetView>
  </sheetViews>
  <sheetFormatPr defaultColWidth="9.140625"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11"/>
      <c r="B1" s="511"/>
      <c r="C1" s="511"/>
      <c r="D1" s="511"/>
      <c r="E1" s="218" t="s">
        <v>452</v>
      </c>
      <c r="H1" s="8"/>
      <c r="I1" s="16"/>
    </row>
    <row r="2" spans="1:9" x14ac:dyDescent="0.2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">
      <c r="A3" s="17" t="s">
        <v>76</v>
      </c>
      <c r="B3" s="9"/>
      <c r="C3" s="9"/>
      <c r="D3" s="9"/>
      <c r="F3" t="s">
        <v>12</v>
      </c>
      <c r="G3" t="s">
        <v>140</v>
      </c>
      <c r="I3" s="9"/>
    </row>
    <row r="4" spans="1:9" hidden="1" x14ac:dyDescent="0.2">
      <c r="A4" s="15" t="s">
        <v>569</v>
      </c>
      <c r="B4" s="453">
        <v>0.13719999999999999</v>
      </c>
      <c r="C4" s="454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hidden="1" x14ac:dyDescent="0.2">
      <c r="A5" s="1" t="s">
        <v>570</v>
      </c>
      <c r="B5" s="453">
        <v>0.10920000000000001</v>
      </c>
      <c r="C5" s="454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">
      <c r="A6" s="1" t="s">
        <v>571</v>
      </c>
      <c r="B6" s="453">
        <f>B4</f>
        <v>0.13719999999999999</v>
      </c>
      <c r="C6" s="454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">
      <c r="A7" s="1" t="s">
        <v>572</v>
      </c>
      <c r="B7" s="453">
        <f>B5</f>
        <v>0.10920000000000001</v>
      </c>
      <c r="C7" s="454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">
      <c r="A8" s="1" t="s">
        <v>573</v>
      </c>
      <c r="B8" s="453">
        <f>B18</f>
        <v>0.16719999999999999</v>
      </c>
      <c r="C8" s="454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">
      <c r="A9" s="1" t="s">
        <v>574</v>
      </c>
      <c r="B9" s="453">
        <f>B19</f>
        <v>0.13919999999999999</v>
      </c>
      <c r="C9" s="454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">
      <c r="A10" s="1" t="s">
        <v>575</v>
      </c>
      <c r="B10" s="453">
        <f>B20</f>
        <v>0.16719999999999999</v>
      </c>
      <c r="C10" s="454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">
      <c r="A11" s="1" t="s">
        <v>576</v>
      </c>
      <c r="B11" s="453">
        <f>B21</f>
        <v>0.13919999999999999</v>
      </c>
      <c r="C11" s="454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">
      <c r="A12" s="1" t="s">
        <v>577</v>
      </c>
      <c r="B12" s="453">
        <f>B14</f>
        <v>0.13719999999999999</v>
      </c>
      <c r="C12" s="454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">
      <c r="A13" s="1" t="s">
        <v>578</v>
      </c>
      <c r="B13" s="453">
        <f>B15</f>
        <v>0.10920000000000001</v>
      </c>
      <c r="C13" s="454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">
      <c r="A14" s="1" t="s">
        <v>579</v>
      </c>
      <c r="B14" s="453">
        <f>B4</f>
        <v>0.13719999999999999</v>
      </c>
      <c r="C14" s="454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">
      <c r="A15" s="1" t="s">
        <v>580</v>
      </c>
      <c r="B15" s="453">
        <f>B5</f>
        <v>0.10920000000000001</v>
      </c>
      <c r="C15" s="454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hidden="1" x14ac:dyDescent="0.2">
      <c r="A16" s="1" t="s">
        <v>611</v>
      </c>
      <c r="B16" s="453">
        <v>0.11020000000000001</v>
      </c>
      <c r="C16" s="454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hidden="1" x14ac:dyDescent="0.2">
      <c r="A17" s="1" t="s">
        <v>612</v>
      </c>
      <c r="B17" s="453">
        <v>8.2199999999999995E-2</v>
      </c>
      <c r="C17" s="454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">
      <c r="A18" s="15" t="s">
        <v>581</v>
      </c>
      <c r="B18" s="453">
        <f>B4+0.03</f>
        <v>0.16719999999999999</v>
      </c>
      <c r="C18" s="454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">
      <c r="A19" s="1" t="s">
        <v>582</v>
      </c>
      <c r="B19" s="453">
        <f>B5+0.03</f>
        <v>0.13919999999999999</v>
      </c>
      <c r="C19" s="454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">
      <c r="A20" s="15" t="s">
        <v>583</v>
      </c>
      <c r="B20" s="453">
        <f>B18</f>
        <v>0.16719999999999999</v>
      </c>
      <c r="C20" s="454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">
      <c r="A21" s="1" t="s">
        <v>584</v>
      </c>
      <c r="B21" s="453">
        <f>B19</f>
        <v>0.13919999999999999</v>
      </c>
      <c r="C21" s="454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">
      <c r="A22" s="206" t="s">
        <v>585</v>
      </c>
      <c r="B22" s="453">
        <v>0.11020000000000001</v>
      </c>
      <c r="C22" s="454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">
      <c r="A23" s="427" t="s">
        <v>586</v>
      </c>
      <c r="B23" s="453">
        <v>8.2199999999999995E-2</v>
      </c>
      <c r="C23" s="454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hidden="1" x14ac:dyDescent="0.2">
      <c r="A24" s="1" t="s">
        <v>77</v>
      </c>
      <c r="B24" s="453">
        <f>РПВ!I24</f>
        <v>5.0000000000000001E-3</v>
      </c>
      <c r="C24" s="454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">
      <c r="A25" s="1" t="s">
        <v>78</v>
      </c>
      <c r="B25" s="453">
        <f>Систем!D25</f>
        <v>0</v>
      </c>
      <c r="C25" s="454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hidden="1" x14ac:dyDescent="0.2">
      <c r="A26" s="1" t="s">
        <v>587</v>
      </c>
      <c r="B26" s="453">
        <v>2.8000000000000001E-2</v>
      </c>
      <c r="C26" s="454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">
      <c r="A27" s="1" t="s">
        <v>588</v>
      </c>
      <c r="B27" s="453">
        <v>2.8000000000000001E-2</v>
      </c>
      <c r="C27" s="454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">
      <c r="A28" s="1" t="s">
        <v>136</v>
      </c>
      <c r="B28" s="453">
        <v>7.0000000000000007E-2</v>
      </c>
      <c r="C28" s="454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">
      <c r="A29" s="1" t="s">
        <v>137</v>
      </c>
      <c r="B29" s="453">
        <v>0.12</v>
      </c>
      <c r="C29" s="454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hidden="1" x14ac:dyDescent="0.2">
      <c r="A30" s="86" t="s">
        <v>79</v>
      </c>
      <c r="B30" s="455">
        <v>4.8000000000000001E-2</v>
      </c>
      <c r="C30" s="456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">
      <c r="A31" s="86" t="s">
        <v>287</v>
      </c>
      <c r="B31" s="455">
        <v>4.8000000000000001E-2</v>
      </c>
      <c r="C31" s="456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hidden="1" x14ac:dyDescent="0.2">
      <c r="A32" s="1" t="s">
        <v>80</v>
      </c>
      <c r="B32" s="453">
        <v>4.8000000000000001E-2</v>
      </c>
      <c r="C32" s="454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">
      <c r="A33" s="1" t="s">
        <v>81</v>
      </c>
      <c r="B33" s="453">
        <v>0.08</v>
      </c>
      <c r="C33" s="454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">
      <c r="A34" s="1" t="s">
        <v>168</v>
      </c>
      <c r="B34" s="453">
        <f>Систем!P7</f>
        <v>4.2999999999999997E-2</v>
      </c>
      <c r="C34" s="454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5" thickBot="1" x14ac:dyDescent="0.25">
      <c r="B35" s="512" t="s">
        <v>18</v>
      </c>
      <c r="C35" s="512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5" thickTop="1" x14ac:dyDescent="0.2">
      <c r="B36" s="457"/>
      <c r="C36" s="458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">
      <c r="A37" s="17" t="s">
        <v>82</v>
      </c>
      <c r="B37" s="457"/>
      <c r="C37" s="458"/>
      <c r="F37" s="18">
        <f t="shared" si="3"/>
        <v>0</v>
      </c>
      <c r="G37" s="230" t="str">
        <f t="shared" si="4"/>
        <v>Пер-л55</v>
      </c>
    </row>
    <row r="38" spans="1:9" hidden="1" x14ac:dyDescent="0.2">
      <c r="A38" s="15" t="s">
        <v>589</v>
      </c>
      <c r="B38" s="453">
        <v>0.10580000000000001</v>
      </c>
      <c r="C38" s="454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hidden="1" x14ac:dyDescent="0.2">
      <c r="A39" s="1" t="s">
        <v>590</v>
      </c>
      <c r="B39" s="453">
        <v>8.3799999999999999E-2</v>
      </c>
      <c r="C39" s="454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">
      <c r="A40" s="1" t="s">
        <v>571</v>
      </c>
      <c r="B40" s="453">
        <f>B38</f>
        <v>0.10580000000000001</v>
      </c>
      <c r="C40" s="454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">
      <c r="A41" s="1" t="s">
        <v>572</v>
      </c>
      <c r="B41" s="453">
        <f>B39</f>
        <v>8.3799999999999999E-2</v>
      </c>
      <c r="C41" s="454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">
      <c r="A42" s="1" t="s">
        <v>573</v>
      </c>
      <c r="B42" s="453">
        <f>B52</f>
        <v>0.10580000000000001</v>
      </c>
      <c r="C42" s="454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">
      <c r="A43" s="1" t="s">
        <v>574</v>
      </c>
      <c r="B43" s="453">
        <f t="shared" ref="B43:B45" si="5">B53</f>
        <v>8.3799999999999999E-2</v>
      </c>
      <c r="C43" s="454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">
      <c r="A44" s="1" t="s">
        <v>575</v>
      </c>
      <c r="B44" s="453">
        <f t="shared" si="5"/>
        <v>0.10580000000000001</v>
      </c>
      <c r="C44" s="454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">
      <c r="A45" s="1" t="s">
        <v>576</v>
      </c>
      <c r="B45" s="453">
        <f t="shared" si="5"/>
        <v>8.3799999999999999E-2</v>
      </c>
      <c r="C45" s="454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">
      <c r="A46" s="1" t="s">
        <v>577</v>
      </c>
      <c r="B46" s="453">
        <f>B48</f>
        <v>0.10580000000000001</v>
      </c>
      <c r="C46" s="454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">
      <c r="A47" s="1" t="s">
        <v>578</v>
      </c>
      <c r="B47" s="453">
        <f>B49</f>
        <v>8.3799999999999999E-2</v>
      </c>
      <c r="C47" s="454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">
      <c r="A48" s="1" t="s">
        <v>579</v>
      </c>
      <c r="B48" s="453">
        <f>B38</f>
        <v>0.10580000000000001</v>
      </c>
      <c r="C48" s="454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">
      <c r="A49" s="1" t="s">
        <v>580</v>
      </c>
      <c r="B49" s="453">
        <f>B39</f>
        <v>8.3799999999999999E-2</v>
      </c>
      <c r="C49" s="454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hidden="1" x14ac:dyDescent="0.2">
      <c r="A50" s="1" t="s">
        <v>611</v>
      </c>
      <c r="B50" s="453">
        <f>Систем!L7</f>
        <v>8.7800000000000003E-2</v>
      </c>
      <c r="C50" s="454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hidden="1" x14ac:dyDescent="0.2">
      <c r="A51" s="1" t="s">
        <v>612</v>
      </c>
      <c r="B51" s="453">
        <f>Систем!M7</f>
        <v>6.5799999999999997E-2</v>
      </c>
      <c r="C51" s="454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">
      <c r="A52" s="15" t="s">
        <v>581</v>
      </c>
      <c r="B52" s="453">
        <f>B38</f>
        <v>0.10580000000000001</v>
      </c>
      <c r="C52" s="454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">
      <c r="A53" s="1" t="s">
        <v>582</v>
      </c>
      <c r="B53" s="453">
        <f>B39</f>
        <v>8.3799999999999999E-2</v>
      </c>
      <c r="C53" s="454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">
      <c r="A54" s="15" t="s">
        <v>583</v>
      </c>
      <c r="B54" s="453">
        <f>B52</f>
        <v>0.10580000000000001</v>
      </c>
      <c r="C54" s="454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">
      <c r="A55" s="1" t="s">
        <v>584</v>
      </c>
      <c r="B55" s="453">
        <f>B53</f>
        <v>8.3799999999999999E-2</v>
      </c>
      <c r="C55" s="454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">
      <c r="A56" s="206" t="s">
        <v>585</v>
      </c>
      <c r="B56" s="453">
        <v>8.7800000000000003E-2</v>
      </c>
      <c r="C56" s="454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">
      <c r="A57" s="427" t="s">
        <v>586</v>
      </c>
      <c r="B57" s="453">
        <v>6.5799999999999997E-2</v>
      </c>
      <c r="C57" s="454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hidden="1" x14ac:dyDescent="0.2">
      <c r="A58" s="1" t="s">
        <v>587</v>
      </c>
      <c r="B58" s="453">
        <v>2.1999999999999999E-2</v>
      </c>
      <c r="C58" s="454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">
      <c r="A59" s="1" t="s">
        <v>588</v>
      </c>
      <c r="B59" s="453">
        <v>2.1999999999999999E-2</v>
      </c>
      <c r="C59" s="454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">
      <c r="A60" s="1" t="s">
        <v>591</v>
      </c>
      <c r="B60" s="453">
        <v>0.23300000000000001</v>
      </c>
      <c r="C60" s="454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">
      <c r="A61" s="1" t="s">
        <v>592</v>
      </c>
      <c r="B61" s="453">
        <v>0.183</v>
      </c>
      <c r="C61" s="454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">
      <c r="A62" s="1" t="s">
        <v>593</v>
      </c>
      <c r="B62" s="453">
        <v>0.23300000000000001</v>
      </c>
      <c r="C62" s="454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">
      <c r="A63" s="1" t="s">
        <v>594</v>
      </c>
      <c r="B63" s="453">
        <v>0.183</v>
      </c>
      <c r="C63" s="454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">
      <c r="A64" s="1" t="s">
        <v>595</v>
      </c>
      <c r="B64" s="453">
        <v>0.19800000000000001</v>
      </c>
      <c r="C64" s="454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">
      <c r="A65" s="1" t="s">
        <v>596</v>
      </c>
      <c r="B65" s="453">
        <v>0.14799999999999999</v>
      </c>
      <c r="C65" s="454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">
      <c r="A66" s="1" t="s">
        <v>597</v>
      </c>
      <c r="B66" s="453">
        <v>0.19800000000000001</v>
      </c>
      <c r="C66" s="454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">
      <c r="A67" s="1" t="s">
        <v>598</v>
      </c>
      <c r="B67" s="453">
        <v>0.14799999999999999</v>
      </c>
      <c r="C67" s="454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">
      <c r="A68" s="1" t="s">
        <v>599</v>
      </c>
      <c r="B68" s="453">
        <v>0.05</v>
      </c>
      <c r="C68" s="454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hidden="1" x14ac:dyDescent="0.2">
      <c r="A69" s="1" t="s">
        <v>79</v>
      </c>
      <c r="B69" s="453">
        <v>3.2000000000000001E-2</v>
      </c>
      <c r="C69" s="454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">
      <c r="A70" s="1" t="s">
        <v>287</v>
      </c>
      <c r="B70" s="453">
        <v>3.2000000000000001E-2</v>
      </c>
      <c r="C70" s="454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">
      <c r="A71" s="86" t="s">
        <v>268</v>
      </c>
      <c r="B71" s="453">
        <v>0.08</v>
      </c>
      <c r="C71" s="454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">
      <c r="A72" s="1" t="s">
        <v>83</v>
      </c>
      <c r="B72" s="453">
        <v>0.08</v>
      </c>
      <c r="C72" s="454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">
      <c r="A73" s="1" t="s">
        <v>84</v>
      </c>
      <c r="B73" s="453">
        <v>4.8000000000000001E-2</v>
      </c>
      <c r="C73" s="454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hidden="1" x14ac:dyDescent="0.2">
      <c r="A74" s="86" t="s">
        <v>182</v>
      </c>
      <c r="B74" s="457">
        <f>dod</f>
        <v>0.1</v>
      </c>
      <c r="C74" s="454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5" thickBot="1" x14ac:dyDescent="0.25">
      <c r="B75" s="513" t="s">
        <v>18</v>
      </c>
      <c r="C75" s="513"/>
      <c r="D75" s="19">
        <f>SUM(D38:D74)</f>
        <v>0</v>
      </c>
    </row>
    <row r="76" spans="1:8" ht="13.5" thickTop="1" x14ac:dyDescent="0.2">
      <c r="B76" s="10"/>
    </row>
    <row r="77" spans="1:8" x14ac:dyDescent="0.2">
      <c r="A77" s="224" t="s">
        <v>300</v>
      </c>
      <c r="B77" s="225"/>
      <c r="C77" s="143" t="s">
        <v>301</v>
      </c>
      <c r="D77" s="226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4" orientation="portrait" horizontalDpi="240" verticalDpi="144" r:id="rId1"/>
  <headerFooter alignWithMargins="0">
    <oddHeader>&amp;C&amp;B&amp;16 Рекапитулация
&amp;B&amp;I&amp;16 на Проба ЕООД с Булстат: 987654321
за месец март 2025 год.</oddHeader>
    <oddFooter>&amp;L&amp;10&amp;B Генерирано чрез TROX РПВ
 вер.2025,03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ColWidth="9.140625" defaultRowHeight="16.5" customHeight="1" x14ac:dyDescent="0.2"/>
  <cols>
    <col min="1" max="1" width="3.7109375" style="293" customWidth="1"/>
    <col min="2" max="2" width="31" style="293" customWidth="1"/>
    <col min="3" max="3" width="13.5703125" style="295" customWidth="1"/>
    <col min="4" max="8" width="8.140625" style="296" customWidth="1"/>
    <col min="9" max="16384" width="9.140625" style="293"/>
  </cols>
  <sheetData>
    <row r="1" spans="1:8" ht="16.5" customHeight="1" x14ac:dyDescent="0.25">
      <c r="A1" s="514" t="s">
        <v>547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2">
      <c r="A3" s="293" t="s">
        <v>92</v>
      </c>
      <c r="B3" s="294" t="str">
        <f>firma</f>
        <v>Проба ЕООД</v>
      </c>
    </row>
    <row r="4" spans="1:8" ht="16.5" customHeight="1" x14ac:dyDescent="0.2">
      <c r="A4" s="293" t="s">
        <v>487</v>
      </c>
      <c r="B4" s="294" t="str">
        <f>CONCATENATE(РПВ!AN2,".",РПВ!AO2)</f>
        <v>март.2025</v>
      </c>
    </row>
    <row r="6" spans="1:8" s="409" customFormat="1" ht="30.75" customHeight="1" x14ac:dyDescent="0.3">
      <c r="A6" s="405" t="s">
        <v>0</v>
      </c>
      <c r="B6" s="406" t="s">
        <v>488</v>
      </c>
      <c r="C6" s="406" t="s">
        <v>489</v>
      </c>
      <c r="D6" s="407" t="s">
        <v>540</v>
      </c>
      <c r="E6" s="407" t="s">
        <v>541</v>
      </c>
      <c r="F6" s="407" t="s">
        <v>542</v>
      </c>
      <c r="G6" s="407" t="s">
        <v>491</v>
      </c>
      <c r="H6" s="408" t="s">
        <v>490</v>
      </c>
    </row>
    <row r="7" spans="1:8" s="404" customFormat="1" ht="16.5" customHeight="1" x14ac:dyDescent="0.25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25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25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25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вер.2025,03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activeCell="C26" sqref="C26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37" t="s">
        <v>610</v>
      </c>
      <c r="B1" s="538"/>
      <c r="C1" s="538"/>
      <c r="D1" s="538"/>
      <c r="E1" s="539"/>
      <c r="H1" s="546" t="s">
        <v>207</v>
      </c>
      <c r="I1" s="546"/>
      <c r="J1" s="546"/>
      <c r="K1" s="546"/>
    </row>
    <row r="2" spans="1:15" ht="12.75" customHeight="1" x14ac:dyDescent="0.2">
      <c r="A2" s="540"/>
      <c r="B2" s="541"/>
      <c r="C2" s="541"/>
      <c r="D2" s="541"/>
      <c r="E2" s="542"/>
      <c r="H2" s="546"/>
      <c r="I2" s="546"/>
      <c r="J2" s="546"/>
      <c r="K2" s="546"/>
      <c r="L2" s="157"/>
      <c r="N2" s="523" t="str">
        <f>IF(H3="","Въведете Булстат/ЕГН",IF(($L$2+$L$3+$L$4)&lt;&gt;0,"",IF(L2=FALSE,"Грешен Булстат/ЕГН","")))</f>
        <v>Грешен Булстат/ЕГН</v>
      </c>
      <c r="O2" s="523"/>
    </row>
    <row r="3" spans="1:15" x14ac:dyDescent="0.2">
      <c r="A3" s="540"/>
      <c r="B3" s="541"/>
      <c r="C3" s="541"/>
      <c r="D3" s="541"/>
      <c r="E3" s="542"/>
      <c r="H3" s="524" t="str">
        <f>РПВ!E25</f>
        <v>987654321</v>
      </c>
      <c r="I3" s="525">
        <v>812032483</v>
      </c>
      <c r="J3" s="525">
        <v>812032483</v>
      </c>
      <c r="K3" s="526">
        <v>812032483</v>
      </c>
      <c r="L3" s="157" t="b">
        <f>IF(H3="","",bulstat(H3))</f>
        <v>0</v>
      </c>
      <c r="N3" s="523"/>
      <c r="O3" s="523"/>
    </row>
    <row r="4" spans="1:15" x14ac:dyDescent="0.2">
      <c r="A4" s="543"/>
      <c r="B4" s="544"/>
      <c r="C4" s="544"/>
      <c r="D4" s="544"/>
      <c r="E4" s="545"/>
      <c r="F4" s="147"/>
      <c r="G4" s="147"/>
      <c r="H4" s="527">
        <v>812032483</v>
      </c>
      <c r="I4" s="528">
        <v>812032483</v>
      </c>
      <c r="J4" s="528">
        <v>812032483</v>
      </c>
      <c r="K4" s="529">
        <v>812032483</v>
      </c>
      <c r="L4" s="157" t="b">
        <f>IF(H3="","",egnnt(H3))</f>
        <v>0</v>
      </c>
      <c r="N4" s="523"/>
      <c r="O4" s="523"/>
    </row>
    <row r="6" spans="1:15" ht="15.75" customHeight="1" x14ac:dyDescent="0.25">
      <c r="A6" s="530" t="s">
        <v>206</v>
      </c>
      <c r="B6" s="530"/>
      <c r="C6" s="530"/>
      <c r="D6" s="534" t="str">
        <f>РПВ!L2</f>
        <v>Проба ЕООД</v>
      </c>
      <c r="E6" s="535" t="s">
        <v>444</v>
      </c>
      <c r="F6" s="535" t="s">
        <v>444</v>
      </c>
      <c r="G6" s="535" t="s">
        <v>444</v>
      </c>
      <c r="H6" s="536" t="s">
        <v>444</v>
      </c>
      <c r="I6" s="531" t="s">
        <v>210</v>
      </c>
      <c r="J6" s="532"/>
      <c r="K6" s="532"/>
      <c r="L6" s="533"/>
      <c r="M6" s="547">
        <v>0</v>
      </c>
      <c r="N6" s="548">
        <v>0</v>
      </c>
    </row>
    <row r="7" spans="1:15" x14ac:dyDescent="0.2">
      <c r="I7" s="149"/>
      <c r="J7" s="149"/>
      <c r="K7" s="149"/>
    </row>
    <row r="8" spans="1:15" ht="15.75" x14ac:dyDescent="0.25">
      <c r="A8" s="148" t="s">
        <v>152</v>
      </c>
      <c r="B8" s="534"/>
      <c r="C8" s="536"/>
      <c r="D8" s="148" t="s">
        <v>153</v>
      </c>
      <c r="E8" s="549"/>
      <c r="F8" s="550"/>
      <c r="G8" s="550"/>
      <c r="H8" s="551"/>
      <c r="I8" s="148" t="s">
        <v>154</v>
      </c>
      <c r="J8" s="148"/>
      <c r="K8" s="549"/>
      <c r="L8" s="550"/>
      <c r="M8" s="550"/>
      <c r="N8" s="551"/>
    </row>
    <row r="10" spans="1:15" ht="25.5" customHeight="1" x14ac:dyDescent="0.2">
      <c r="A10" s="521" t="s">
        <v>486</v>
      </c>
      <c r="B10" s="522"/>
      <c r="C10" s="522"/>
      <c r="D10" s="522"/>
      <c r="E10" s="146" t="s">
        <v>211</v>
      </c>
      <c r="F10" s="146" t="s">
        <v>215</v>
      </c>
      <c r="G10" s="146"/>
      <c r="H10" s="146" t="s">
        <v>212</v>
      </c>
      <c r="I10" s="146" t="s">
        <v>216</v>
      </c>
      <c r="J10" s="146"/>
      <c r="K10" s="146" t="s">
        <v>213</v>
      </c>
      <c r="L10" s="146" t="s">
        <v>217</v>
      </c>
      <c r="M10" s="146"/>
      <c r="N10" s="146" t="s">
        <v>214</v>
      </c>
      <c r="O10" s="146" t="s">
        <v>218</v>
      </c>
    </row>
    <row r="11" spans="1:15" x14ac:dyDescent="0.2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">
      <c r="A13" s="519" t="s">
        <v>208</v>
      </c>
      <c r="B13" s="519"/>
      <c r="C13" s="519"/>
      <c r="D13" s="519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">
      <c r="A14" s="519" t="s">
        <v>166</v>
      </c>
      <c r="B14" s="519"/>
      <c r="C14" s="519"/>
      <c r="D14" s="519"/>
      <c r="E14" s="515"/>
      <c r="F14" s="516"/>
      <c r="G14" s="154"/>
      <c r="H14" s="515"/>
      <c r="I14" s="516"/>
      <c r="J14" s="154"/>
      <c r="K14" s="515"/>
      <c r="L14" s="516"/>
      <c r="M14" s="154"/>
      <c r="N14" s="515"/>
      <c r="O14" s="516"/>
    </row>
    <row r="15" spans="1:15" x14ac:dyDescent="0.2">
      <c r="A15" s="519" t="s">
        <v>202</v>
      </c>
      <c r="B15" s="519"/>
      <c r="C15" s="519"/>
      <c r="D15" s="519"/>
      <c r="E15" s="515"/>
      <c r="F15" s="516"/>
      <c r="G15" s="154"/>
      <c r="H15" s="515"/>
      <c r="I15" s="516"/>
      <c r="J15" s="154"/>
      <c r="K15" s="515"/>
      <c r="L15" s="516"/>
      <c r="M15" s="154"/>
      <c r="N15" s="515"/>
      <c r="O15" s="516"/>
    </row>
    <row r="16" spans="1:15" x14ac:dyDescent="0.2">
      <c r="A16" s="519" t="s">
        <v>602</v>
      </c>
      <c r="B16" s="519"/>
      <c r="C16" s="519"/>
      <c r="D16" s="519"/>
      <c r="E16" s="515"/>
      <c r="F16" s="516"/>
      <c r="G16" s="154"/>
      <c r="H16" s="515"/>
      <c r="I16" s="516"/>
      <c r="J16" s="154"/>
      <c r="K16" s="515"/>
      <c r="L16" s="516"/>
      <c r="M16" s="154"/>
      <c r="N16" s="515"/>
      <c r="O16" s="516"/>
    </row>
    <row r="17" spans="1:16" x14ac:dyDescent="0.2">
      <c r="A17" s="519" t="s">
        <v>203</v>
      </c>
      <c r="B17" s="519"/>
      <c r="C17" s="519"/>
      <c r="D17" s="519"/>
      <c r="E17" s="515"/>
      <c r="F17" s="516"/>
      <c r="G17" s="154"/>
      <c r="H17" s="515"/>
      <c r="I17" s="516"/>
      <c r="J17" s="154"/>
      <c r="K17" s="515"/>
      <c r="L17" s="516"/>
      <c r="M17" s="154"/>
      <c r="N17" s="515"/>
      <c r="O17" s="516"/>
    </row>
    <row r="18" spans="1:16" x14ac:dyDescent="0.2">
      <c r="A18" s="519" t="s">
        <v>204</v>
      </c>
      <c r="B18" s="519"/>
      <c r="C18" s="519"/>
      <c r="D18" s="519"/>
      <c r="E18" s="515"/>
      <c r="F18" s="516"/>
      <c r="G18" s="154"/>
      <c r="H18" s="515"/>
      <c r="I18" s="516"/>
      <c r="J18" s="154"/>
      <c r="K18" s="515"/>
      <c r="L18" s="516"/>
      <c r="M18" s="154"/>
      <c r="N18" s="515"/>
      <c r="O18" s="516"/>
    </row>
    <row r="19" spans="1:16" x14ac:dyDescent="0.2">
      <c r="A19" s="519" t="s">
        <v>205</v>
      </c>
      <c r="B19" s="519"/>
      <c r="C19" s="519"/>
      <c r="D19" s="519"/>
      <c r="E19" s="515"/>
      <c r="F19" s="516"/>
      <c r="G19" s="154"/>
      <c r="H19" s="515"/>
      <c r="I19" s="516"/>
      <c r="J19" s="154"/>
      <c r="K19" s="515"/>
      <c r="L19" s="516"/>
      <c r="M19" s="154"/>
      <c r="N19" s="515"/>
      <c r="O19" s="516"/>
    </row>
    <row r="20" spans="1:16" x14ac:dyDescent="0.2">
      <c r="A20" s="519" t="s">
        <v>485</v>
      </c>
      <c r="B20" s="519"/>
      <c r="C20" s="519"/>
      <c r="D20" s="519"/>
      <c r="E20" s="515"/>
      <c r="F20" s="516"/>
      <c r="G20" s="154"/>
      <c r="H20" s="515"/>
      <c r="I20" s="516"/>
      <c r="J20" s="154"/>
      <c r="K20" s="515"/>
      <c r="L20" s="516"/>
      <c r="M20" s="154"/>
      <c r="N20" s="515"/>
      <c r="O20" s="516"/>
    </row>
    <row r="21" spans="1:16" x14ac:dyDescent="0.2">
      <c r="A21" s="519" t="s">
        <v>484</v>
      </c>
      <c r="B21" s="519"/>
      <c r="C21" s="519"/>
      <c r="D21" s="519"/>
      <c r="E21" s="515"/>
      <c r="F21" s="516"/>
      <c r="G21" s="154"/>
      <c r="H21" s="515"/>
      <c r="I21" s="516"/>
      <c r="J21" s="154"/>
      <c r="K21" s="515"/>
      <c r="L21" s="516"/>
      <c r="M21" s="154"/>
      <c r="N21" s="515"/>
      <c r="O21" s="516"/>
    </row>
    <row r="22" spans="1:16" s="96" customFormat="1" ht="3.75" customHeight="1" x14ac:dyDescent="0.2">
      <c r="A22" s="150"/>
      <c r="B22" s="150"/>
      <c r="C22" s="150"/>
      <c r="D22" s="150"/>
    </row>
    <row r="23" spans="1:16" x14ac:dyDescent="0.2">
      <c r="A23" s="519" t="s">
        <v>209</v>
      </c>
      <c r="B23" s="519"/>
      <c r="C23" s="519"/>
      <c r="D23" s="519"/>
      <c r="E23" s="517"/>
      <c r="F23" s="518"/>
      <c r="G23" s="153"/>
      <c r="H23" s="517"/>
      <c r="I23" s="518"/>
      <c r="J23" s="153"/>
      <c r="K23" s="517"/>
      <c r="L23" s="518"/>
      <c r="M23" s="153"/>
      <c r="N23" s="517"/>
      <c r="O23" s="518"/>
      <c r="P23" s="401">
        <v>1</v>
      </c>
    </row>
    <row r="24" spans="1:16" x14ac:dyDescent="0.2">
      <c r="P24" s="401" t="s">
        <v>606</v>
      </c>
    </row>
    <row r="25" spans="1:16" x14ac:dyDescent="0.2">
      <c r="P25" s="401">
        <f>MONTH(P24)</f>
        <v>1</v>
      </c>
    </row>
    <row r="26" spans="1:16" x14ac:dyDescent="0.2">
      <c r="A26" s="520" t="s">
        <v>133</v>
      </c>
      <c r="B26" s="520"/>
      <c r="C26" s="155"/>
    </row>
    <row r="30" spans="1:16" x14ac:dyDescent="0.2">
      <c r="D30" s="229" t="b">
        <v>0</v>
      </c>
    </row>
  </sheetData>
  <mergeCells count="59"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A21:D21"/>
    <mergeCell ref="A17:D17"/>
    <mergeCell ref="A18:D18"/>
    <mergeCell ref="A19:D19"/>
    <mergeCell ref="A26:B26"/>
    <mergeCell ref="A23:D23"/>
    <mergeCell ref="A20:D20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DATE(YEAR(TODAY())+1,1,0)</formula2>
    </dataValidation>
    <dataValidation type="date" allowBlank="1" showInputMessage="1" showErrorMessage="1" sqref="E23:F23" xr:uid="{00000000-0002-0000-0500-00000B000000}">
      <formula1>36526</formula1>
      <formula2>DATE(YEAR(TODAY())+1,1,0)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Button 60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P3" sqref="P3"/>
    </sheetView>
  </sheetViews>
  <sheetFormatPr defaultColWidth="9.140625"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127</v>
      </c>
      <c r="G1" s="13"/>
      <c r="H1" s="16"/>
      <c r="N1" s="85"/>
    </row>
    <row r="2" spans="2:16" x14ac:dyDescent="0.2">
      <c r="B2" s="90" t="s">
        <v>128</v>
      </c>
      <c r="C2" s="156" t="str">
        <f>IF(Д6!H3="","",Д6!H3)</f>
        <v>987654321</v>
      </c>
      <c r="E2" s="91"/>
      <c r="H2" s="9">
        <v>0</v>
      </c>
      <c r="N2" s="95" t="s">
        <v>189</v>
      </c>
      <c r="P2" s="1">
        <v>2025</v>
      </c>
    </row>
    <row r="3" spans="2:16" x14ac:dyDescent="0.2">
      <c r="B3" s="90" t="s">
        <v>129</v>
      </c>
      <c r="C3" s="7" t="str">
        <f>IF(Д6!D6="","",Д6!D6)</f>
        <v>Проба ЕООД</v>
      </c>
      <c r="E3" s="9" t="s">
        <v>135</v>
      </c>
      <c r="H3" s="9">
        <v>1</v>
      </c>
      <c r="I3" s="1">
        <v>1</v>
      </c>
      <c r="N3" s="95" t="s">
        <v>190</v>
      </c>
      <c r="P3" s="1">
        <v>2024</v>
      </c>
    </row>
    <row r="4" spans="2:16" x14ac:dyDescent="0.2">
      <c r="B4" s="90" t="s">
        <v>134</v>
      </c>
      <c r="C4" s="7">
        <f>IF(Д6!M6="","",Д6!M6)</f>
        <v>0</v>
      </c>
      <c r="E4" s="9"/>
      <c r="H4" s="9"/>
      <c r="I4" s="1">
        <v>2</v>
      </c>
      <c r="N4" s="95" t="s">
        <v>191</v>
      </c>
      <c r="P4" s="1">
        <v>2023</v>
      </c>
    </row>
    <row r="5" spans="2:16" x14ac:dyDescent="0.2">
      <c r="B5" s="90" t="s">
        <v>130</v>
      </c>
      <c r="C5" s="7" t="str">
        <f>IF(Д6!B8="","",Д6!B8)</f>
        <v/>
      </c>
      <c r="E5" s="13"/>
      <c r="H5" s="38"/>
      <c r="I5" s="1">
        <v>3</v>
      </c>
      <c r="N5" s="95" t="s">
        <v>192</v>
      </c>
      <c r="P5" s="1">
        <v>2022</v>
      </c>
    </row>
    <row r="6" spans="2:16" x14ac:dyDescent="0.2">
      <c r="B6" s="90" t="s">
        <v>131</v>
      </c>
      <c r="C6" s="7" t="str">
        <f>IF(Д6!E8="","",Д6!E8)</f>
        <v/>
      </c>
      <c r="H6" s="10"/>
      <c r="I6" s="1">
        <v>4</v>
      </c>
      <c r="N6" s="95" t="s">
        <v>193</v>
      </c>
      <c r="P6" s="1">
        <v>2021</v>
      </c>
    </row>
    <row r="7" spans="2:16" x14ac:dyDescent="0.2">
      <c r="B7" s="90" t="s">
        <v>132</v>
      </c>
      <c r="C7" s="7" t="str">
        <f>IF(Д6!K8="","",Д6!K8)</f>
        <v/>
      </c>
      <c r="E7" s="9"/>
      <c r="H7" s="10"/>
      <c r="I7" s="1">
        <v>5</v>
      </c>
      <c r="N7" s="95" t="s">
        <v>194</v>
      </c>
      <c r="P7" s="1">
        <v>2020</v>
      </c>
    </row>
    <row r="8" spans="2:16" x14ac:dyDescent="0.2">
      <c r="B8" s="90" t="s">
        <v>133</v>
      </c>
      <c r="C8" s="144" t="str">
        <f>IF(Д6!C26="","",Д6!C26)</f>
        <v/>
      </c>
      <c r="I8" s="1">
        <v>6</v>
      </c>
      <c r="N8" s="95" t="s">
        <v>195</v>
      </c>
      <c r="P8" s="1">
        <v>2019</v>
      </c>
    </row>
    <row r="9" spans="2:16" x14ac:dyDescent="0.2">
      <c r="B9" s="89"/>
      <c r="C9" s="145" t="s">
        <v>185</v>
      </c>
      <c r="I9" s="1">
        <v>8</v>
      </c>
      <c r="N9" s="95" t="s">
        <v>196</v>
      </c>
      <c r="P9" s="1">
        <v>2018</v>
      </c>
    </row>
    <row r="10" spans="2:16" x14ac:dyDescent="0.2">
      <c r="B10" s="558" t="s">
        <v>143</v>
      </c>
      <c r="C10" s="559"/>
      <c r="D10" s="559"/>
      <c r="I10" s="1">
        <v>9</v>
      </c>
      <c r="N10" s="95" t="s">
        <v>197</v>
      </c>
      <c r="P10" s="1">
        <v>2017</v>
      </c>
    </row>
    <row r="11" spans="2:16" ht="12" customHeight="1" x14ac:dyDescent="0.2">
      <c r="B11" s="94" t="s">
        <v>111</v>
      </c>
      <c r="C11" s="556">
        <f>SUM(Рекапитулация!D4:D23)+Рекапитулация!D24+SUM(Рекапитулация!D38:D57)</f>
        <v>0</v>
      </c>
      <c r="D11" s="557"/>
      <c r="N11" s="95" t="s">
        <v>198</v>
      </c>
      <c r="P11" s="1">
        <v>2016</v>
      </c>
    </row>
    <row r="12" spans="2:16" ht="12" customHeight="1" x14ac:dyDescent="0.2">
      <c r="B12" s="93" t="s">
        <v>112</v>
      </c>
      <c r="C12" s="556">
        <f>Рекапитулация!D34</f>
        <v>0</v>
      </c>
      <c r="D12" s="557"/>
      <c r="N12" s="95" t="s">
        <v>199</v>
      </c>
      <c r="P12" s="1">
        <v>2015</v>
      </c>
    </row>
    <row r="13" spans="2:16" ht="12" customHeight="1" x14ac:dyDescent="0.2">
      <c r="B13" s="93" t="s">
        <v>113</v>
      </c>
      <c r="C13" s="556">
        <f>Рекапитулация!D26+Рекапитулация!D58+Рекапитулация!D27+Рекапитулация!D59</f>
        <v>0</v>
      </c>
      <c r="D13" s="557"/>
      <c r="N13" s="95" t="s">
        <v>200</v>
      </c>
      <c r="P13" s="1">
        <v>2014</v>
      </c>
    </row>
    <row r="14" spans="2:16" ht="12" customHeight="1" x14ac:dyDescent="0.2">
      <c r="B14" s="93" t="s">
        <v>114</v>
      </c>
      <c r="C14" s="556">
        <f>SUM(Рекапитулация!D28:D29)</f>
        <v>0</v>
      </c>
      <c r="D14" s="557"/>
      <c r="F14" s="555">
        <v>1</v>
      </c>
      <c r="G14" s="555"/>
      <c r="H14" s="555">
        <v>2</v>
      </c>
      <c r="I14" s="555"/>
      <c r="J14" s="555">
        <v>3</v>
      </c>
      <c r="K14" s="555"/>
      <c r="L14" s="555">
        <v>4</v>
      </c>
      <c r="M14" s="555"/>
      <c r="N14" s="95" t="s">
        <v>201</v>
      </c>
      <c r="P14" s="1">
        <v>2013</v>
      </c>
    </row>
    <row r="15" spans="2:16" ht="12" customHeight="1" x14ac:dyDescent="0.2">
      <c r="B15" s="93" t="s">
        <v>115</v>
      </c>
      <c r="C15" s="556">
        <f>SUM(Рекапитулация!D30:D33,Рекапитулация!D69:D71)</f>
        <v>0</v>
      </c>
      <c r="D15" s="557"/>
      <c r="E15" s="143" t="s">
        <v>183</v>
      </c>
      <c r="F15" s="555" t="str">
        <f>IF(Д6!E11="","",Д6!E11)</f>
        <v/>
      </c>
      <c r="G15" s="555"/>
      <c r="H15" s="555" t="str">
        <f>IF(Д6!H11="","",Д6!H11)</f>
        <v/>
      </c>
      <c r="I15" s="555"/>
      <c r="J15" s="555" t="str">
        <f>IF(Д6!K11="","",Д6!K11)</f>
        <v/>
      </c>
      <c r="K15" s="555"/>
      <c r="L15" s="555" t="str">
        <f>IF(Д6!N11="","",Д6!N11)</f>
        <v/>
      </c>
      <c r="M15" s="555"/>
      <c r="P15" s="1">
        <v>2012</v>
      </c>
    </row>
    <row r="16" spans="2:16" ht="12" customHeight="1" x14ac:dyDescent="0.2">
      <c r="B16" s="93" t="s">
        <v>116</v>
      </c>
      <c r="C16" s="556">
        <f>Рекапитулация!D25</f>
        <v>0</v>
      </c>
      <c r="D16" s="557"/>
      <c r="E16" s="143" t="s">
        <v>184</v>
      </c>
      <c r="F16" s="555" t="str">
        <f>IF(Д6!F11="","",Д6!F11)</f>
        <v/>
      </c>
      <c r="G16" s="555"/>
      <c r="H16" s="555" t="str">
        <f>IF(Д6!I11="","",Д6!I11)</f>
        <v/>
      </c>
      <c r="I16" s="555"/>
      <c r="J16" s="555" t="str">
        <f>IF(Д6!L11="","",Д6!L11)</f>
        <v/>
      </c>
      <c r="K16" s="555"/>
      <c r="L16" s="555" t="str">
        <f>IF(Д6!O11="","",Д6!O11)</f>
        <v/>
      </c>
      <c r="M16" s="555"/>
      <c r="P16" s="1">
        <v>2011</v>
      </c>
    </row>
    <row r="17" spans="1:16" ht="12" customHeight="1" x14ac:dyDescent="0.2">
      <c r="B17" s="142" t="s">
        <v>181</v>
      </c>
      <c r="C17" s="556">
        <f>Рекапитулация!D74</f>
        <v>0</v>
      </c>
      <c r="D17" s="557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2010</v>
      </c>
    </row>
    <row r="18" spans="1:16" ht="12" customHeight="1" x14ac:dyDescent="0.2">
      <c r="B18" s="141" t="s">
        <v>483</v>
      </c>
      <c r="C18" s="556">
        <v>0</v>
      </c>
      <c r="D18" s="557"/>
      <c r="E18" s="1">
        <v>10</v>
      </c>
      <c r="F18" s="552" t="str">
        <f>IF(Д6!E14="","",Д6!E14)</f>
        <v/>
      </c>
      <c r="G18" s="552"/>
      <c r="H18" s="552" t="str">
        <f>IF(Д6!H14="","",Д6!H14)</f>
        <v/>
      </c>
      <c r="I18" s="552"/>
      <c r="J18" s="552" t="str">
        <f>IF(Д6!K14="","",Д6!K14)</f>
        <v/>
      </c>
      <c r="K18" s="552"/>
      <c r="L18" s="552" t="str">
        <f>IF(Д6!N14="","",Д6!N14)</f>
        <v/>
      </c>
      <c r="M18" s="552"/>
      <c r="P18" s="1">
        <v>2009</v>
      </c>
    </row>
    <row r="19" spans="1:16" x14ac:dyDescent="0.2">
      <c r="E19" s="1">
        <v>11</v>
      </c>
      <c r="F19" s="552" t="str">
        <f>IF(Д6!E15="","",Д6!E15)</f>
        <v/>
      </c>
      <c r="G19" s="552"/>
      <c r="H19" s="552" t="str">
        <f>IF(Д6!H15="","",Д6!H15)</f>
        <v/>
      </c>
      <c r="I19" s="552"/>
      <c r="J19" s="552" t="str">
        <f>IF(Д6!K15="","",Д6!K15)</f>
        <v/>
      </c>
      <c r="K19" s="552"/>
      <c r="L19" s="552" t="str">
        <f>IF(Д6!N15="","",Д6!N15)</f>
        <v/>
      </c>
      <c r="M19" s="552"/>
      <c r="P19" s="1">
        <v>2008</v>
      </c>
    </row>
    <row r="20" spans="1:16" x14ac:dyDescent="0.2">
      <c r="B20" s="228" t="s">
        <v>459</v>
      </c>
      <c r="E20" s="1">
        <v>12</v>
      </c>
      <c r="F20" s="552" t="str">
        <f>IF(Д6!E16="","",Д6!E16)</f>
        <v/>
      </c>
      <c r="G20" s="552"/>
      <c r="H20" s="552" t="str">
        <f>IF(Д6!H16="","",Д6!H16)</f>
        <v/>
      </c>
      <c r="I20" s="552"/>
      <c r="J20" s="552" t="str">
        <f>IF(Д6!K16="","",Д6!K16)</f>
        <v/>
      </c>
      <c r="K20" s="552"/>
      <c r="L20" s="552" t="str">
        <f>IF(Д6!N16="","",Д6!N16)</f>
        <v/>
      </c>
      <c r="M20" s="552"/>
      <c r="P20" s="1">
        <v>2007</v>
      </c>
    </row>
    <row r="21" spans="1:16" x14ac:dyDescent="0.2">
      <c r="B21" s="228" t="s">
        <v>460</v>
      </c>
      <c r="C21" s="12"/>
      <c r="E21" s="1">
        <v>13</v>
      </c>
      <c r="F21" s="552" t="str">
        <f>IF(Д6!E17="","",Д6!E17)</f>
        <v/>
      </c>
      <c r="G21" s="552"/>
      <c r="H21" s="552" t="str">
        <f>IF(Д6!H17="","",Д6!H17)</f>
        <v/>
      </c>
      <c r="I21" s="552"/>
      <c r="J21" s="552" t="str">
        <f>IF(Д6!K17="","",Д6!K17)</f>
        <v/>
      </c>
      <c r="K21" s="552"/>
      <c r="L21" s="552" t="str">
        <f>IF(Д6!N17="","",Д6!N17)</f>
        <v/>
      </c>
      <c r="M21" s="552"/>
      <c r="P21" s="1">
        <v>2006</v>
      </c>
    </row>
    <row r="22" spans="1:16" x14ac:dyDescent="0.2">
      <c r="B22" s="228" t="s">
        <v>464</v>
      </c>
      <c r="E22" s="1">
        <v>14</v>
      </c>
      <c r="F22" s="552" t="str">
        <f>IF(Д6!E18="","",Д6!E18)</f>
        <v/>
      </c>
      <c r="G22" s="552"/>
      <c r="H22" s="552" t="str">
        <f>IF(Д6!H18="","",Д6!H18)</f>
        <v/>
      </c>
      <c r="I22" s="552"/>
      <c r="J22" s="552" t="str">
        <f>IF(Д6!K18="","",Д6!K18)</f>
        <v/>
      </c>
      <c r="K22" s="552"/>
      <c r="L22" s="552" t="str">
        <f>IF(Д6!N18="","",Д6!N18)</f>
        <v/>
      </c>
      <c r="M22" s="552"/>
      <c r="P22" s="1">
        <v>2005</v>
      </c>
    </row>
    <row r="23" spans="1:16" x14ac:dyDescent="0.2">
      <c r="A23" s="12"/>
      <c r="B23" s="228" t="s">
        <v>465</v>
      </c>
      <c r="E23" s="1">
        <v>15</v>
      </c>
      <c r="F23" s="552" t="str">
        <f>IF(Д6!E19="","",Д6!E19)</f>
        <v/>
      </c>
      <c r="G23" s="552"/>
      <c r="H23" s="552" t="str">
        <f>IF(Д6!H19="","",Д6!H19)</f>
        <v/>
      </c>
      <c r="I23" s="552"/>
      <c r="J23" s="552" t="str">
        <f>IF(Д6!K19="","",Д6!K19)</f>
        <v/>
      </c>
      <c r="K23" s="552"/>
      <c r="L23" s="552" t="str">
        <f>IF(Д6!N19="","",Д6!N19)</f>
        <v/>
      </c>
      <c r="M23" s="552"/>
    </row>
    <row r="24" spans="1:16" x14ac:dyDescent="0.2">
      <c r="A24" s="12"/>
      <c r="B24" s="228" t="s">
        <v>461</v>
      </c>
      <c r="E24" s="1">
        <v>16</v>
      </c>
      <c r="F24" s="552" t="str">
        <f>IF(Д6!E20="","",Д6!E20)</f>
        <v/>
      </c>
      <c r="G24" s="552"/>
      <c r="H24" s="552" t="str">
        <f>IF(Д6!H20="","",Д6!H20)</f>
        <v/>
      </c>
      <c r="I24" s="552"/>
      <c r="J24" s="552" t="str">
        <f>IF(Д6!K20="","",Д6!K20)</f>
        <v/>
      </c>
      <c r="K24" s="552"/>
      <c r="L24" s="552" t="str">
        <f>IF(Д6!N20="","",Д6!N20)</f>
        <v/>
      </c>
      <c r="M24" s="552"/>
    </row>
    <row r="25" spans="1:16" x14ac:dyDescent="0.2">
      <c r="A25" s="12"/>
      <c r="B25" s="228" t="s">
        <v>466</v>
      </c>
      <c r="E25" s="1">
        <v>17</v>
      </c>
      <c r="F25" s="552" t="str">
        <f>IF(Д6!E21="","",Д6!E21)</f>
        <v/>
      </c>
      <c r="G25" s="552"/>
      <c r="H25" s="552" t="str">
        <f>IF(Д6!H21="","",Д6!H21)</f>
        <v/>
      </c>
      <c r="I25" s="552"/>
      <c r="J25" s="552" t="str">
        <f>IF(Д6!K21="","",Д6!K21)</f>
        <v/>
      </c>
      <c r="K25" s="552"/>
      <c r="L25" s="552" t="str">
        <f>IF(Д6!N21="","",Д6!N21)</f>
        <v/>
      </c>
      <c r="M25" s="552"/>
    </row>
    <row r="26" spans="1:16" x14ac:dyDescent="0.2">
      <c r="A26" s="12"/>
      <c r="B26" s="228" t="s">
        <v>467</v>
      </c>
      <c r="E26" s="1">
        <v>18</v>
      </c>
      <c r="F26" s="553" t="str">
        <f>IF(Д6!E23="","",Д6!E23)</f>
        <v/>
      </c>
      <c r="G26" s="553"/>
      <c r="H26" s="553" t="str">
        <f>IF(Д6!H23="","",Д6!H23)</f>
        <v/>
      </c>
      <c r="I26" s="554"/>
      <c r="J26" s="553" t="str">
        <f>IF(Д6!K23="","",Д6!K23)</f>
        <v/>
      </c>
      <c r="K26" s="554"/>
      <c r="L26" s="552" t="str">
        <f>IF(Д6!N23="","",Д6!N23)</f>
        <v/>
      </c>
      <c r="M26" s="552"/>
    </row>
    <row r="27" spans="1:16" x14ac:dyDescent="0.2">
      <c r="A27" s="12"/>
      <c r="B27" s="228" t="s">
        <v>462</v>
      </c>
    </row>
    <row r="28" spans="1:16" x14ac:dyDescent="0.2">
      <c r="B28" s="414" t="s">
        <v>543</v>
      </c>
    </row>
    <row r="29" spans="1:16" x14ac:dyDescent="0.2">
      <c r="B29" s="414" t="s">
        <v>544</v>
      </c>
    </row>
    <row r="30" spans="1:16" x14ac:dyDescent="0.2">
      <c r="B30" s="228" t="s">
        <v>463</v>
      </c>
    </row>
  </sheetData>
  <sheetProtection selectLockedCells="1"/>
  <mergeCells count="57"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L26:M26"/>
    <mergeCell ref="L25:M25"/>
    <mergeCell ref="J23:K23"/>
    <mergeCell ref="H23:I23"/>
    <mergeCell ref="L24:M24"/>
    <mergeCell ref="L23:M23"/>
    <mergeCell ref="F26:G26"/>
    <mergeCell ref="H26:I26"/>
    <mergeCell ref="J26:K26"/>
    <mergeCell ref="F25:G25"/>
    <mergeCell ref="H25:I25"/>
    <mergeCell ref="J25:K25"/>
    <mergeCell ref="F24:G24"/>
    <mergeCell ref="H24:I24"/>
    <mergeCell ref="J24:K24"/>
    <mergeCell ref="H22:I22"/>
    <mergeCell ref="F23:G23"/>
    <mergeCell ref="F22:G22"/>
    <mergeCell ref="J22:K22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30" customWidth="1"/>
    <col min="37" max="37" width="2.140625" style="230" customWidth="1"/>
    <col min="38" max="38" width="1.85546875" style="230" customWidth="1"/>
    <col min="39" max="39" width="2" style="230" customWidth="1"/>
    <col min="40" max="47" width="1.85546875" style="230" customWidth="1"/>
    <col min="48" max="48" width="3.28515625" hidden="1" customWidth="1"/>
    <col min="49" max="49" width="1.85546875" style="96" customWidth="1"/>
  </cols>
  <sheetData>
    <row r="1" spans="1:48" ht="12.75" x14ac:dyDescent="0.2">
      <c r="W1" s="575" t="s">
        <v>146</v>
      </c>
      <c r="X1" s="575"/>
      <c r="Y1" s="575"/>
      <c r="Z1" s="575"/>
      <c r="AA1" s="575"/>
      <c r="AB1" s="575"/>
      <c r="AC1" s="575"/>
      <c r="AD1" s="575"/>
      <c r="AE1" s="575"/>
      <c r="AF1" s="575"/>
      <c r="AG1" s="575"/>
      <c r="AH1" s="575"/>
      <c r="AI1" s="575"/>
      <c r="AJ1" s="575"/>
      <c r="AK1" s="575"/>
      <c r="AL1" s="575"/>
      <c r="AM1" s="575"/>
      <c r="AN1" s="575"/>
      <c r="AO1" s="575"/>
      <c r="AP1" s="575"/>
      <c r="AQ1" s="575"/>
      <c r="AR1" s="575"/>
      <c r="AS1" s="575"/>
      <c r="AT1" s="575"/>
      <c r="AU1" s="575"/>
      <c r="AV1" s="575"/>
    </row>
    <row r="2" spans="1:48" ht="3.75" customHeight="1" thickBot="1" x14ac:dyDescent="0.25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">
      <c r="A3" s="232"/>
      <c r="B3" s="233"/>
      <c r="C3" s="233"/>
      <c r="D3" s="233"/>
      <c r="E3" s="233"/>
      <c r="F3" s="97" t="s">
        <v>147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576" t="s">
        <v>481</v>
      </c>
      <c r="AE3" s="576"/>
      <c r="AF3" s="576"/>
      <c r="AG3" s="576"/>
      <c r="AH3" s="577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">
      <c r="A4" s="236"/>
      <c r="B4" s="233"/>
      <c r="C4" s="233"/>
      <c r="D4" s="233"/>
      <c r="E4" s="233"/>
      <c r="F4" s="578" t="s">
        <v>148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9"/>
      <c r="AC4" s="98"/>
      <c r="AD4" s="579" t="s">
        <v>480</v>
      </c>
      <c r="AE4" s="579"/>
      <c r="AF4" s="579"/>
      <c r="AG4" s="579"/>
      <c r="AH4" s="580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">
      <c r="A5" s="236"/>
      <c r="B5" s="233"/>
      <c r="C5" s="233"/>
      <c r="D5" s="233"/>
      <c r="E5" s="233"/>
      <c r="F5" s="581" t="s">
        <v>609</v>
      </c>
      <c r="G5" s="581"/>
      <c r="H5" s="581"/>
      <c r="I5" s="581"/>
      <c r="J5" s="581"/>
      <c r="K5" s="581"/>
      <c r="L5" s="581"/>
      <c r="M5" s="581"/>
      <c r="N5" s="581"/>
      <c r="O5" s="581"/>
      <c r="P5" s="581"/>
      <c r="Q5" s="581"/>
      <c r="R5" s="581"/>
      <c r="S5" s="581"/>
      <c r="T5" s="581"/>
      <c r="U5" s="581"/>
      <c r="V5" s="581"/>
      <c r="W5" s="581"/>
      <c r="X5" s="581"/>
      <c r="Y5" s="581"/>
      <c r="Z5" s="581"/>
      <c r="AA5" s="581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25">
      <c r="A6" s="239"/>
      <c r="B6" s="240"/>
      <c r="C6" s="103"/>
      <c r="D6" s="103"/>
      <c r="E6" s="582" t="s">
        <v>149</v>
      </c>
      <c r="F6" s="582"/>
      <c r="G6" s="582"/>
      <c r="H6" s="582"/>
      <c r="I6" s="582"/>
      <c r="J6" s="582"/>
      <c r="K6" s="582"/>
      <c r="L6" s="582"/>
      <c r="M6" s="582"/>
      <c r="N6" s="582"/>
      <c r="O6" s="582"/>
      <c r="P6" s="582"/>
      <c r="Q6" s="582"/>
      <c r="R6" s="582"/>
      <c r="S6" s="582"/>
      <c r="T6" s="582"/>
      <c r="U6" s="582"/>
      <c r="V6" s="582"/>
      <c r="W6" s="582"/>
      <c r="X6" s="582"/>
      <c r="Y6" s="582"/>
      <c r="Z6" s="582"/>
      <c r="AA6" s="582"/>
      <c r="AB6" s="582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">
      <c r="A7" s="106" t="s">
        <v>150</v>
      </c>
      <c r="B7" s="107"/>
      <c r="C7" s="107"/>
      <c r="D7" s="107"/>
      <c r="E7" s="107"/>
      <c r="F7" s="107"/>
      <c r="G7" s="107"/>
      <c r="H7" s="108"/>
      <c r="I7" s="605" t="str">
        <f>Инфо!C3</f>
        <v>Проба ЕООД</v>
      </c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546"/>
      <c r="U7" s="546"/>
      <c r="V7" s="546"/>
      <c r="W7" s="546"/>
      <c r="X7" s="546"/>
      <c r="Y7" s="546"/>
      <c r="Z7" s="546"/>
      <c r="AA7" s="546"/>
      <c r="AB7" s="546"/>
      <c r="AC7" s="546"/>
      <c r="AD7" s="546"/>
      <c r="AE7" s="546"/>
      <c r="AF7" s="546"/>
      <c r="AG7" s="546"/>
      <c r="AH7" s="546"/>
      <c r="AI7" s="546"/>
      <c r="AJ7" s="546"/>
      <c r="AK7" s="546"/>
      <c r="AL7" s="546"/>
      <c r="AM7" s="546"/>
      <c r="AN7" s="546"/>
      <c r="AO7" s="546"/>
      <c r="AP7" s="606"/>
      <c r="AQ7" s="111" t="s">
        <v>151</v>
      </c>
      <c r="AR7" s="109"/>
      <c r="AS7" s="109"/>
      <c r="AT7" s="110"/>
      <c r="AU7" s="603">
        <f>IF(Инфо!C4="","",Инфо!C4)</f>
        <v>0</v>
      </c>
    </row>
    <row r="8" spans="1:48" ht="9.75" customHeight="1" x14ac:dyDescent="0.2">
      <c r="A8" s="112" t="s">
        <v>480</v>
      </c>
      <c r="B8" s="113"/>
      <c r="C8" s="113"/>
      <c r="D8" s="113"/>
      <c r="E8" s="113"/>
      <c r="F8" s="113"/>
      <c r="G8" s="113"/>
      <c r="H8" s="114"/>
      <c r="I8" s="607"/>
      <c r="J8" s="608"/>
      <c r="K8" s="608"/>
      <c r="L8" s="608"/>
      <c r="M8" s="608"/>
      <c r="N8" s="608"/>
      <c r="O8" s="608"/>
      <c r="P8" s="608"/>
      <c r="Q8" s="608"/>
      <c r="R8" s="608"/>
      <c r="S8" s="608"/>
      <c r="T8" s="608"/>
      <c r="U8" s="608"/>
      <c r="V8" s="608"/>
      <c r="W8" s="608"/>
      <c r="X8" s="608"/>
      <c r="Y8" s="608"/>
      <c r="Z8" s="608"/>
      <c r="AA8" s="608"/>
      <c r="AB8" s="608"/>
      <c r="AC8" s="608"/>
      <c r="AD8" s="608"/>
      <c r="AE8" s="608"/>
      <c r="AF8" s="608"/>
      <c r="AG8" s="608"/>
      <c r="AH8" s="608"/>
      <c r="AI8" s="608"/>
      <c r="AJ8" s="608"/>
      <c r="AK8" s="608"/>
      <c r="AL8" s="608"/>
      <c r="AM8" s="608"/>
      <c r="AN8" s="608"/>
      <c r="AO8" s="608"/>
      <c r="AP8" s="609"/>
      <c r="AQ8" s="117" t="s">
        <v>109</v>
      </c>
      <c r="AR8" s="115"/>
      <c r="AS8" s="115"/>
      <c r="AT8" s="116"/>
      <c r="AU8" s="604"/>
    </row>
    <row r="9" spans="1:48" ht="9.75" customHeight="1" x14ac:dyDescent="0.2">
      <c r="A9" s="624" t="s">
        <v>152</v>
      </c>
      <c r="B9" s="584"/>
      <c r="C9" s="584"/>
      <c r="D9" s="585"/>
      <c r="E9" s="610" t="str">
        <f>IF(Инфо!C5="","",Инфо!C5)</f>
        <v/>
      </c>
      <c r="F9" s="611"/>
      <c r="G9" s="611"/>
      <c r="H9" s="611"/>
      <c r="I9" s="611"/>
      <c r="J9" s="611"/>
      <c r="K9" s="611"/>
      <c r="L9" s="611"/>
      <c r="M9" s="611"/>
      <c r="N9" s="611"/>
      <c r="O9" s="611"/>
      <c r="P9" s="611"/>
      <c r="Q9" s="612"/>
      <c r="R9" s="583" t="s">
        <v>153</v>
      </c>
      <c r="S9" s="584"/>
      <c r="T9" s="584"/>
      <c r="U9" s="585"/>
      <c r="V9" s="610" t="str">
        <f>IF(Инфо!C6="","",Инфо!C6)</f>
        <v/>
      </c>
      <c r="W9" s="611"/>
      <c r="X9" s="611"/>
      <c r="Y9" s="611"/>
      <c r="Z9" s="611"/>
      <c r="AA9" s="611"/>
      <c r="AB9" s="611"/>
      <c r="AC9" s="611"/>
      <c r="AD9" s="611"/>
      <c r="AE9" s="611"/>
      <c r="AF9" s="611"/>
      <c r="AG9" s="612"/>
      <c r="AH9" s="583" t="s">
        <v>154</v>
      </c>
      <c r="AI9" s="584"/>
      <c r="AJ9" s="585"/>
      <c r="AK9" s="610" t="str">
        <f>IF(Инфо!C7="","",Инфо!C7)</f>
        <v/>
      </c>
      <c r="AL9" s="611"/>
      <c r="AM9" s="611"/>
      <c r="AN9" s="611"/>
      <c r="AO9" s="611"/>
      <c r="AP9" s="611"/>
      <c r="AQ9" s="611"/>
      <c r="AR9" s="611"/>
      <c r="AS9" s="611"/>
      <c r="AT9" s="611"/>
      <c r="AU9" s="616"/>
    </row>
    <row r="10" spans="1:48" ht="9.75" customHeight="1" thickBot="1" x14ac:dyDescent="0.25">
      <c r="A10" s="625"/>
      <c r="B10" s="587"/>
      <c r="C10" s="587"/>
      <c r="D10" s="588"/>
      <c r="E10" s="613"/>
      <c r="F10" s="614"/>
      <c r="G10" s="614"/>
      <c r="H10" s="614"/>
      <c r="I10" s="614"/>
      <c r="J10" s="614"/>
      <c r="K10" s="614"/>
      <c r="L10" s="614"/>
      <c r="M10" s="614"/>
      <c r="N10" s="614"/>
      <c r="O10" s="614"/>
      <c r="P10" s="614"/>
      <c r="Q10" s="615"/>
      <c r="R10" s="586"/>
      <c r="S10" s="587"/>
      <c r="T10" s="587"/>
      <c r="U10" s="588"/>
      <c r="V10" s="613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5"/>
      <c r="AH10" s="586"/>
      <c r="AI10" s="587"/>
      <c r="AJ10" s="588"/>
      <c r="AK10" s="613"/>
      <c r="AL10" s="614"/>
      <c r="AM10" s="614"/>
      <c r="AN10" s="614"/>
      <c r="AO10" s="614"/>
      <c r="AP10" s="614"/>
      <c r="AQ10" s="614"/>
      <c r="AR10" s="614"/>
      <c r="AS10" s="614"/>
      <c r="AT10" s="614"/>
      <c r="AU10" s="617"/>
    </row>
    <row r="11" spans="1:48" ht="9.75" customHeight="1" thickTop="1" x14ac:dyDescent="0.2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155</v>
      </c>
      <c r="M11" s="118"/>
      <c r="N11" s="118"/>
      <c r="O11" s="118"/>
      <c r="P11" s="599" t="str">
        <f>IF(Инфо!F15="","",Инфо!F15)</f>
        <v/>
      </c>
      <c r="Q11" s="601" t="s">
        <v>156</v>
      </c>
      <c r="R11" s="601"/>
      <c r="S11" s="601"/>
      <c r="T11" s="602"/>
      <c r="U11" s="119" t="s">
        <v>157</v>
      </c>
      <c r="V11" s="118"/>
      <c r="W11" s="118"/>
      <c r="X11" s="118"/>
      <c r="Y11" s="599" t="str">
        <f>IF(Инфо!H15="","",Инфо!H15)</f>
        <v/>
      </c>
      <c r="Z11" s="601" t="s">
        <v>158</v>
      </c>
      <c r="AA11" s="601"/>
      <c r="AB11" s="601"/>
      <c r="AC11" s="602"/>
      <c r="AD11" s="119" t="s">
        <v>159</v>
      </c>
      <c r="AE11" s="118"/>
      <c r="AF11" s="118"/>
      <c r="AG11" s="118"/>
      <c r="AH11" s="599" t="str">
        <f>IF(Инфо!J15="","",Инфо!J15)</f>
        <v/>
      </c>
      <c r="AI11" s="601" t="s">
        <v>160</v>
      </c>
      <c r="AJ11" s="601"/>
      <c r="AK11" s="601"/>
      <c r="AL11" s="602"/>
      <c r="AM11" s="119" t="s">
        <v>161</v>
      </c>
      <c r="AN11" s="118"/>
      <c r="AO11" s="118"/>
      <c r="AP11" s="118"/>
      <c r="AQ11" s="599" t="str">
        <f>IF(Инфо!L15="","",Инфо!L15)</f>
        <v/>
      </c>
      <c r="AR11" s="601" t="s">
        <v>162</v>
      </c>
      <c r="AS11" s="601"/>
      <c r="AT11" s="601"/>
      <c r="AU11" s="602"/>
    </row>
    <row r="12" spans="1:48" ht="9.75" customHeight="1" thickBot="1" x14ac:dyDescent="0.25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108</v>
      </c>
      <c r="M12" s="120"/>
      <c r="N12" s="120"/>
      <c r="O12" s="120"/>
      <c r="P12" s="600"/>
      <c r="Q12" s="307" t="s">
        <v>163</v>
      </c>
      <c r="R12" s="307"/>
      <c r="S12" s="308"/>
      <c r="T12" s="309"/>
      <c r="U12" s="121" t="s">
        <v>108</v>
      </c>
      <c r="V12" s="120"/>
      <c r="W12" s="120"/>
      <c r="X12" s="120"/>
      <c r="Y12" s="600"/>
      <c r="Z12" s="310" t="s">
        <v>163</v>
      </c>
      <c r="AA12" s="307"/>
      <c r="AB12" s="308"/>
      <c r="AC12" s="309"/>
      <c r="AD12" s="120" t="s">
        <v>108</v>
      </c>
      <c r="AE12" s="120"/>
      <c r="AF12" s="120"/>
      <c r="AG12" s="120"/>
      <c r="AH12" s="600"/>
      <c r="AI12" s="310" t="s">
        <v>163</v>
      </c>
      <c r="AJ12" s="307"/>
      <c r="AK12" s="308"/>
      <c r="AL12" s="309"/>
      <c r="AM12" s="121" t="s">
        <v>108</v>
      </c>
      <c r="AN12" s="120"/>
      <c r="AO12" s="120"/>
      <c r="AP12" s="120"/>
      <c r="AQ12" s="600"/>
      <c r="AR12" s="310" t="s">
        <v>163</v>
      </c>
      <c r="AS12" s="307"/>
      <c r="AT12" s="308"/>
      <c r="AU12" s="309"/>
    </row>
    <row r="13" spans="1:48" ht="9.75" customHeight="1" thickTop="1" x14ac:dyDescent="0.2">
      <c r="A13" s="589" t="s">
        <v>164</v>
      </c>
      <c r="B13" s="590"/>
      <c r="C13" s="590"/>
      <c r="D13" s="590"/>
      <c r="E13" s="590"/>
      <c r="F13" s="590"/>
      <c r="G13" s="590"/>
      <c r="H13" s="590"/>
      <c r="I13" s="590"/>
      <c r="J13" s="590"/>
      <c r="K13" s="591"/>
      <c r="L13" s="336"/>
      <c r="M13" s="337"/>
      <c r="N13" s="336"/>
      <c r="O13" s="338"/>
      <c r="P13" s="338"/>
      <c r="Q13" s="339"/>
      <c r="R13" s="340"/>
      <c r="S13" s="595" t="str">
        <f>IF(Инфо!F16="","",Инфо!F16)</f>
        <v/>
      </c>
      <c r="T13" s="596"/>
      <c r="U13" s="341"/>
      <c r="V13" s="337"/>
      <c r="W13" s="336"/>
      <c r="X13" s="338"/>
      <c r="Y13" s="338"/>
      <c r="Z13" s="339"/>
      <c r="AA13" s="340"/>
      <c r="AB13" s="595" t="str">
        <f>IF(Инфо!H16="","",Инфо!H16)</f>
        <v/>
      </c>
      <c r="AC13" s="596"/>
      <c r="AD13" s="336"/>
      <c r="AE13" s="337"/>
      <c r="AF13" s="336"/>
      <c r="AG13" s="338"/>
      <c r="AH13" s="338"/>
      <c r="AI13" s="339"/>
      <c r="AJ13" s="342"/>
      <c r="AK13" s="595" t="str">
        <f>IF(Инфо!J16="","",Инфо!J16)</f>
        <v/>
      </c>
      <c r="AL13" s="596"/>
      <c r="AM13" s="341"/>
      <c r="AN13" s="337"/>
      <c r="AO13" s="336"/>
      <c r="AP13" s="338"/>
      <c r="AQ13" s="338"/>
      <c r="AR13" s="339"/>
      <c r="AS13" s="340"/>
      <c r="AT13" s="595" t="str">
        <f>IF(Инфо!L16="","",Инфо!L16)</f>
        <v/>
      </c>
      <c r="AU13" s="596"/>
    </row>
    <row r="14" spans="1:48" ht="9.75" customHeight="1" thickBot="1" x14ac:dyDescent="0.25">
      <c r="A14" s="592"/>
      <c r="B14" s="593"/>
      <c r="C14" s="593"/>
      <c r="D14" s="593"/>
      <c r="E14" s="593"/>
      <c r="F14" s="593"/>
      <c r="G14" s="593"/>
      <c r="H14" s="593"/>
      <c r="I14" s="593"/>
      <c r="J14" s="593"/>
      <c r="K14" s="594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165</v>
      </c>
      <c r="S14" s="597"/>
      <c r="T14" s="598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165</v>
      </c>
      <c r="AB14" s="597"/>
      <c r="AC14" s="598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165</v>
      </c>
      <c r="AK14" s="597"/>
      <c r="AL14" s="598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165</v>
      </c>
      <c r="AT14" s="597"/>
      <c r="AU14" s="598"/>
    </row>
    <row r="15" spans="1:48" ht="9.75" customHeight="1" x14ac:dyDescent="0.2">
      <c r="A15" s="569" t="s">
        <v>166</v>
      </c>
      <c r="B15" s="570"/>
      <c r="C15" s="570"/>
      <c r="D15" s="570"/>
      <c r="E15" s="570"/>
      <c r="F15" s="570"/>
      <c r="G15" s="570"/>
      <c r="H15" s="570"/>
      <c r="I15" s="570"/>
      <c r="J15" s="570"/>
      <c r="K15" s="571"/>
      <c r="L15" s="563" t="str">
        <f>IF(Инфо!F18="","",Инфо!F18)</f>
        <v/>
      </c>
      <c r="M15" s="564"/>
      <c r="N15" s="564"/>
      <c r="O15" s="564"/>
      <c r="P15" s="564"/>
      <c r="Q15" s="564"/>
      <c r="R15" s="564"/>
      <c r="S15" s="564"/>
      <c r="T15" s="565"/>
      <c r="U15" s="563" t="str">
        <f>IF(Инфо!H18="","",Инфо!H18)</f>
        <v/>
      </c>
      <c r="V15" s="564"/>
      <c r="W15" s="564"/>
      <c r="X15" s="564"/>
      <c r="Y15" s="564"/>
      <c r="Z15" s="564"/>
      <c r="AA15" s="564"/>
      <c r="AB15" s="564"/>
      <c r="AC15" s="565"/>
      <c r="AD15" s="563" t="str">
        <f>IF(Инфо!J18="","",Инфо!J18)</f>
        <v/>
      </c>
      <c r="AE15" s="564"/>
      <c r="AF15" s="564"/>
      <c r="AG15" s="564"/>
      <c r="AH15" s="564"/>
      <c r="AI15" s="564"/>
      <c r="AJ15" s="564"/>
      <c r="AK15" s="564"/>
      <c r="AL15" s="565"/>
      <c r="AM15" s="563" t="str">
        <f>IF(Инфо!L18="","",Инфо!L18)</f>
        <v/>
      </c>
      <c r="AN15" s="564"/>
      <c r="AO15" s="564"/>
      <c r="AP15" s="564"/>
      <c r="AQ15" s="564"/>
      <c r="AR15" s="564"/>
      <c r="AS15" s="564"/>
      <c r="AT15" s="564"/>
      <c r="AU15" s="565"/>
    </row>
    <row r="16" spans="1:48" ht="9.75" customHeight="1" x14ac:dyDescent="0.2">
      <c r="A16" s="572"/>
      <c r="B16" s="573"/>
      <c r="C16" s="573"/>
      <c r="D16" s="573"/>
      <c r="E16" s="573"/>
      <c r="F16" s="573"/>
      <c r="G16" s="573"/>
      <c r="H16" s="573"/>
      <c r="I16" s="573"/>
      <c r="J16" s="573"/>
      <c r="K16" s="574"/>
      <c r="L16" s="566"/>
      <c r="M16" s="567"/>
      <c r="N16" s="567"/>
      <c r="O16" s="567"/>
      <c r="P16" s="567"/>
      <c r="Q16" s="567"/>
      <c r="R16" s="567"/>
      <c r="S16" s="567"/>
      <c r="T16" s="568"/>
      <c r="U16" s="566"/>
      <c r="V16" s="567"/>
      <c r="W16" s="567"/>
      <c r="X16" s="567"/>
      <c r="Y16" s="567"/>
      <c r="Z16" s="567"/>
      <c r="AA16" s="567"/>
      <c r="AB16" s="567"/>
      <c r="AC16" s="568"/>
      <c r="AD16" s="566"/>
      <c r="AE16" s="567"/>
      <c r="AF16" s="567"/>
      <c r="AG16" s="567"/>
      <c r="AH16" s="567"/>
      <c r="AI16" s="567"/>
      <c r="AJ16" s="567"/>
      <c r="AK16" s="567"/>
      <c r="AL16" s="568"/>
      <c r="AM16" s="566"/>
      <c r="AN16" s="567"/>
      <c r="AO16" s="567"/>
      <c r="AP16" s="567"/>
      <c r="AQ16" s="567"/>
      <c r="AR16" s="567"/>
      <c r="AS16" s="567"/>
      <c r="AT16" s="567"/>
      <c r="AU16" s="568"/>
    </row>
    <row r="17" spans="1:55" ht="9.75" customHeight="1" x14ac:dyDescent="0.2">
      <c r="A17" s="106" t="s">
        <v>167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618" t="str">
        <f>IF(Инфо!F19="","",Инфо!F19)</f>
        <v/>
      </c>
      <c r="M17" s="619"/>
      <c r="N17" s="619"/>
      <c r="O17" s="619"/>
      <c r="P17" s="619"/>
      <c r="Q17" s="619"/>
      <c r="R17" s="619"/>
      <c r="S17" s="619"/>
      <c r="T17" s="620"/>
      <c r="U17" s="618" t="str">
        <f>IF(Инфо!H19="","",Инфо!H19)</f>
        <v/>
      </c>
      <c r="V17" s="619"/>
      <c r="W17" s="619"/>
      <c r="X17" s="619"/>
      <c r="Y17" s="619"/>
      <c r="Z17" s="619"/>
      <c r="AA17" s="619"/>
      <c r="AB17" s="619"/>
      <c r="AC17" s="620"/>
      <c r="AD17" s="618" t="str">
        <f>IF(Инфо!J19="","",Инфо!J19)</f>
        <v/>
      </c>
      <c r="AE17" s="619"/>
      <c r="AF17" s="619"/>
      <c r="AG17" s="619"/>
      <c r="AH17" s="619"/>
      <c r="AI17" s="619"/>
      <c r="AJ17" s="619"/>
      <c r="AK17" s="619"/>
      <c r="AL17" s="620"/>
      <c r="AM17" s="618" t="str">
        <f>IF(Инфо!L19="","",Инфо!L19)</f>
        <v/>
      </c>
      <c r="AN17" s="619"/>
      <c r="AO17" s="619"/>
      <c r="AP17" s="619"/>
      <c r="AQ17" s="619"/>
      <c r="AR17" s="619"/>
      <c r="AS17" s="619"/>
      <c r="AT17" s="619"/>
      <c r="AU17" s="620"/>
    </row>
    <row r="18" spans="1:55" ht="9.75" customHeight="1" x14ac:dyDescent="0.2">
      <c r="A18" s="123" t="s">
        <v>168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6"/>
      <c r="M18" s="567"/>
      <c r="N18" s="567"/>
      <c r="O18" s="567"/>
      <c r="P18" s="567"/>
      <c r="Q18" s="567"/>
      <c r="R18" s="567"/>
      <c r="S18" s="567"/>
      <c r="T18" s="568"/>
      <c r="U18" s="566"/>
      <c r="V18" s="567"/>
      <c r="W18" s="567"/>
      <c r="X18" s="567"/>
      <c r="Y18" s="567"/>
      <c r="Z18" s="567"/>
      <c r="AA18" s="567"/>
      <c r="AB18" s="567"/>
      <c r="AC18" s="568"/>
      <c r="AD18" s="566"/>
      <c r="AE18" s="567"/>
      <c r="AF18" s="567"/>
      <c r="AG18" s="567"/>
      <c r="AH18" s="567"/>
      <c r="AI18" s="567"/>
      <c r="AJ18" s="567"/>
      <c r="AK18" s="567"/>
      <c r="AL18" s="568"/>
      <c r="AM18" s="566"/>
      <c r="AN18" s="567"/>
      <c r="AO18" s="567"/>
      <c r="AP18" s="567"/>
      <c r="AQ18" s="567"/>
      <c r="AR18" s="567"/>
      <c r="AS18" s="567"/>
      <c r="AT18" s="567"/>
      <c r="AU18" s="568"/>
    </row>
    <row r="19" spans="1:55" ht="9.75" customHeight="1" x14ac:dyDescent="0.25">
      <c r="A19" s="428" t="s">
        <v>603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618" t="str">
        <f>IF(Инфо!F20="","",Инфо!F20)</f>
        <v/>
      </c>
      <c r="M19" s="619"/>
      <c r="N19" s="619"/>
      <c r="O19" s="619"/>
      <c r="P19" s="619"/>
      <c r="Q19" s="619"/>
      <c r="R19" s="619"/>
      <c r="S19" s="619"/>
      <c r="T19" s="620"/>
      <c r="U19" s="618" t="str">
        <f>IF(Инфо!H20="","",Инфо!H20)</f>
        <v/>
      </c>
      <c r="V19" s="619"/>
      <c r="W19" s="619"/>
      <c r="X19" s="619"/>
      <c r="Y19" s="619"/>
      <c r="Z19" s="619"/>
      <c r="AA19" s="619"/>
      <c r="AB19" s="619"/>
      <c r="AC19" s="620"/>
      <c r="AD19" s="618" t="str">
        <f>IF(Инфо!J20="","",Инфо!J20)</f>
        <v/>
      </c>
      <c r="AE19" s="619"/>
      <c r="AF19" s="619"/>
      <c r="AG19" s="619"/>
      <c r="AH19" s="619"/>
      <c r="AI19" s="619"/>
      <c r="AJ19" s="619"/>
      <c r="AK19" s="619"/>
      <c r="AL19" s="620"/>
      <c r="AM19" s="618" t="str">
        <f>IF(Инфо!L20="","",Инфо!L20)</f>
        <v/>
      </c>
      <c r="AN19" s="619"/>
      <c r="AO19" s="619"/>
      <c r="AP19" s="619"/>
      <c r="AQ19" s="619"/>
      <c r="AR19" s="619"/>
      <c r="AS19" s="619"/>
      <c r="AT19" s="619"/>
      <c r="AU19" s="620"/>
      <c r="BC19" s="324"/>
    </row>
    <row r="20" spans="1:55" ht="9.75" customHeight="1" x14ac:dyDescent="0.2">
      <c r="A20" s="429" t="s">
        <v>604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6"/>
      <c r="M20" s="567"/>
      <c r="N20" s="567"/>
      <c r="O20" s="567"/>
      <c r="P20" s="567"/>
      <c r="Q20" s="567"/>
      <c r="R20" s="567"/>
      <c r="S20" s="567"/>
      <c r="T20" s="568"/>
      <c r="U20" s="566"/>
      <c r="V20" s="567"/>
      <c r="W20" s="567"/>
      <c r="X20" s="567"/>
      <c r="Y20" s="567"/>
      <c r="Z20" s="567"/>
      <c r="AA20" s="567"/>
      <c r="AB20" s="567"/>
      <c r="AC20" s="568"/>
      <c r="AD20" s="566"/>
      <c r="AE20" s="567"/>
      <c r="AF20" s="567"/>
      <c r="AG20" s="567"/>
      <c r="AH20" s="567"/>
      <c r="AI20" s="567"/>
      <c r="AJ20" s="567"/>
      <c r="AK20" s="567"/>
      <c r="AL20" s="568"/>
      <c r="AM20" s="566"/>
      <c r="AN20" s="567"/>
      <c r="AO20" s="567"/>
      <c r="AP20" s="567"/>
      <c r="AQ20" s="567"/>
      <c r="AR20" s="567"/>
      <c r="AS20" s="567"/>
      <c r="AT20" s="567"/>
      <c r="AU20" s="568"/>
    </row>
    <row r="21" spans="1:55" ht="9.75" customHeight="1" x14ac:dyDescent="0.2">
      <c r="A21" s="126" t="s">
        <v>169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618" t="str">
        <f>IF(Инфо!F21="","",Инфо!F21)</f>
        <v/>
      </c>
      <c r="M21" s="619"/>
      <c r="N21" s="619"/>
      <c r="O21" s="619"/>
      <c r="P21" s="619"/>
      <c r="Q21" s="619"/>
      <c r="R21" s="619"/>
      <c r="S21" s="619"/>
      <c r="T21" s="620"/>
      <c r="U21" s="618" t="str">
        <f>IF(Инфо!H21="","",Инфо!H21)</f>
        <v/>
      </c>
      <c r="V21" s="619"/>
      <c r="W21" s="619"/>
      <c r="X21" s="619"/>
      <c r="Y21" s="619"/>
      <c r="Z21" s="619"/>
      <c r="AA21" s="619"/>
      <c r="AB21" s="619"/>
      <c r="AC21" s="620"/>
      <c r="AD21" s="618" t="str">
        <f>IF(Инфо!J21="","",Инфо!J21)</f>
        <v/>
      </c>
      <c r="AE21" s="619"/>
      <c r="AF21" s="619"/>
      <c r="AG21" s="619"/>
      <c r="AH21" s="619"/>
      <c r="AI21" s="619"/>
      <c r="AJ21" s="619"/>
      <c r="AK21" s="619"/>
      <c r="AL21" s="620"/>
      <c r="AM21" s="618" t="str">
        <f>IF(Инфо!L21="","",Инфо!L21)</f>
        <v/>
      </c>
      <c r="AN21" s="619"/>
      <c r="AO21" s="619"/>
      <c r="AP21" s="619"/>
      <c r="AQ21" s="619"/>
      <c r="AR21" s="619"/>
      <c r="AS21" s="619"/>
      <c r="AT21" s="619"/>
      <c r="AU21" s="620"/>
    </row>
    <row r="22" spans="1:55" ht="9.75" customHeight="1" x14ac:dyDescent="0.2">
      <c r="A22" s="123" t="s">
        <v>170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6"/>
      <c r="M22" s="567"/>
      <c r="N22" s="567"/>
      <c r="O22" s="567"/>
      <c r="P22" s="567"/>
      <c r="Q22" s="567"/>
      <c r="R22" s="567"/>
      <c r="S22" s="567"/>
      <c r="T22" s="568"/>
      <c r="U22" s="566"/>
      <c r="V22" s="567"/>
      <c r="W22" s="567"/>
      <c r="X22" s="567"/>
      <c r="Y22" s="567"/>
      <c r="Z22" s="567"/>
      <c r="AA22" s="567"/>
      <c r="AB22" s="567"/>
      <c r="AC22" s="568"/>
      <c r="AD22" s="566"/>
      <c r="AE22" s="567"/>
      <c r="AF22" s="567"/>
      <c r="AG22" s="567"/>
      <c r="AH22" s="567"/>
      <c r="AI22" s="567"/>
      <c r="AJ22" s="567"/>
      <c r="AK22" s="567"/>
      <c r="AL22" s="568"/>
      <c r="AM22" s="566"/>
      <c r="AN22" s="567"/>
      <c r="AO22" s="567"/>
      <c r="AP22" s="567"/>
      <c r="AQ22" s="567"/>
      <c r="AR22" s="567"/>
      <c r="AS22" s="567"/>
      <c r="AT22" s="567"/>
      <c r="AU22" s="568"/>
    </row>
    <row r="23" spans="1:55" ht="9.75" customHeight="1" x14ac:dyDescent="0.2">
      <c r="A23" s="126" t="s">
        <v>171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618" t="str">
        <f>IF(Инфо!F22="","",Инфо!F22)</f>
        <v/>
      </c>
      <c r="M23" s="619"/>
      <c r="N23" s="619"/>
      <c r="O23" s="619"/>
      <c r="P23" s="619"/>
      <c r="Q23" s="619"/>
      <c r="R23" s="619"/>
      <c r="S23" s="619"/>
      <c r="T23" s="620"/>
      <c r="U23" s="618" t="str">
        <f>IF(Инфо!H22="","",Инфо!H22)</f>
        <v/>
      </c>
      <c r="V23" s="619"/>
      <c r="W23" s="619"/>
      <c r="X23" s="619"/>
      <c r="Y23" s="619"/>
      <c r="Z23" s="619"/>
      <c r="AA23" s="619"/>
      <c r="AB23" s="619"/>
      <c r="AC23" s="620"/>
      <c r="AD23" s="618" t="str">
        <f>IF(Инфо!J22="","",Инфо!J22)</f>
        <v/>
      </c>
      <c r="AE23" s="619"/>
      <c r="AF23" s="619"/>
      <c r="AG23" s="619"/>
      <c r="AH23" s="619"/>
      <c r="AI23" s="619"/>
      <c r="AJ23" s="619"/>
      <c r="AK23" s="619"/>
      <c r="AL23" s="620"/>
      <c r="AM23" s="618" t="str">
        <f>IF(Инфо!L22="","",Инфо!L22)</f>
        <v/>
      </c>
      <c r="AN23" s="619"/>
      <c r="AO23" s="619"/>
      <c r="AP23" s="619"/>
      <c r="AQ23" s="619"/>
      <c r="AR23" s="619"/>
      <c r="AS23" s="619"/>
      <c r="AT23" s="619"/>
      <c r="AU23" s="620"/>
    </row>
    <row r="24" spans="1:55" ht="9.75" customHeight="1" x14ac:dyDescent="0.2">
      <c r="A24" s="123" t="s">
        <v>172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6"/>
      <c r="M24" s="567"/>
      <c r="N24" s="567"/>
      <c r="O24" s="567"/>
      <c r="P24" s="567"/>
      <c r="Q24" s="567"/>
      <c r="R24" s="567"/>
      <c r="S24" s="567"/>
      <c r="T24" s="568"/>
      <c r="U24" s="566"/>
      <c r="V24" s="567"/>
      <c r="W24" s="567"/>
      <c r="X24" s="567"/>
      <c r="Y24" s="567"/>
      <c r="Z24" s="567"/>
      <c r="AA24" s="567"/>
      <c r="AB24" s="567"/>
      <c r="AC24" s="568"/>
      <c r="AD24" s="566"/>
      <c r="AE24" s="567"/>
      <c r="AF24" s="567"/>
      <c r="AG24" s="567"/>
      <c r="AH24" s="567"/>
      <c r="AI24" s="567"/>
      <c r="AJ24" s="567"/>
      <c r="AK24" s="567"/>
      <c r="AL24" s="568"/>
      <c r="AM24" s="566"/>
      <c r="AN24" s="567"/>
      <c r="AO24" s="567"/>
      <c r="AP24" s="567"/>
      <c r="AQ24" s="567"/>
      <c r="AR24" s="567"/>
      <c r="AS24" s="567"/>
      <c r="AT24" s="567"/>
      <c r="AU24" s="568"/>
    </row>
    <row r="25" spans="1:55" ht="9.75" customHeight="1" x14ac:dyDescent="0.2">
      <c r="A25" s="126" t="s">
        <v>173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618" t="str">
        <f>IF(Инфо!F23="","",Инфо!F23)</f>
        <v/>
      </c>
      <c r="M25" s="619"/>
      <c r="N25" s="619"/>
      <c r="O25" s="619"/>
      <c r="P25" s="619"/>
      <c r="Q25" s="619"/>
      <c r="R25" s="619"/>
      <c r="S25" s="619"/>
      <c r="T25" s="620"/>
      <c r="U25" s="618" t="str">
        <f>IF(Инфо!H23="","",Инфо!H23)</f>
        <v/>
      </c>
      <c r="V25" s="619"/>
      <c r="W25" s="619"/>
      <c r="X25" s="619"/>
      <c r="Y25" s="619"/>
      <c r="Z25" s="619"/>
      <c r="AA25" s="619"/>
      <c r="AB25" s="619"/>
      <c r="AC25" s="620"/>
      <c r="AD25" s="618" t="str">
        <f>IF(Инфо!J23="","",Инфо!J23)</f>
        <v/>
      </c>
      <c r="AE25" s="619"/>
      <c r="AF25" s="619"/>
      <c r="AG25" s="619"/>
      <c r="AH25" s="619"/>
      <c r="AI25" s="619"/>
      <c r="AJ25" s="619"/>
      <c r="AK25" s="619"/>
      <c r="AL25" s="620"/>
      <c r="AM25" s="618" t="str">
        <f>IF(Инфо!L23="","",Инфо!L23)</f>
        <v/>
      </c>
      <c r="AN25" s="619"/>
      <c r="AO25" s="619"/>
      <c r="AP25" s="619"/>
      <c r="AQ25" s="619"/>
      <c r="AR25" s="619"/>
      <c r="AS25" s="619"/>
      <c r="AT25" s="619"/>
      <c r="AU25" s="620"/>
    </row>
    <row r="26" spans="1:55" ht="9.75" customHeight="1" x14ac:dyDescent="0.2">
      <c r="A26" s="123" t="s">
        <v>174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6"/>
      <c r="M26" s="567"/>
      <c r="N26" s="567"/>
      <c r="O26" s="567"/>
      <c r="P26" s="567"/>
      <c r="Q26" s="567"/>
      <c r="R26" s="567"/>
      <c r="S26" s="567"/>
      <c r="T26" s="568"/>
      <c r="U26" s="566"/>
      <c r="V26" s="567"/>
      <c r="W26" s="567"/>
      <c r="X26" s="567"/>
      <c r="Y26" s="567"/>
      <c r="Z26" s="567"/>
      <c r="AA26" s="567"/>
      <c r="AB26" s="567"/>
      <c r="AC26" s="568"/>
      <c r="AD26" s="566"/>
      <c r="AE26" s="567"/>
      <c r="AF26" s="567"/>
      <c r="AG26" s="567"/>
      <c r="AH26" s="567"/>
      <c r="AI26" s="567"/>
      <c r="AJ26" s="567"/>
      <c r="AK26" s="567"/>
      <c r="AL26" s="568"/>
      <c r="AM26" s="566"/>
      <c r="AN26" s="567"/>
      <c r="AO26" s="567"/>
      <c r="AP26" s="567"/>
      <c r="AQ26" s="567"/>
      <c r="AR26" s="567"/>
      <c r="AS26" s="567"/>
      <c r="AT26" s="567"/>
      <c r="AU26" s="568"/>
    </row>
    <row r="27" spans="1:55" ht="9.75" customHeight="1" x14ac:dyDescent="0.2">
      <c r="A27" s="126" t="s">
        <v>479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618" t="str">
        <f>IF(Инфо!F24="","",Инфо!F24)</f>
        <v/>
      </c>
      <c r="M27" s="619"/>
      <c r="N27" s="619"/>
      <c r="O27" s="619"/>
      <c r="P27" s="619"/>
      <c r="Q27" s="619"/>
      <c r="R27" s="619"/>
      <c r="S27" s="619"/>
      <c r="T27" s="620"/>
      <c r="U27" s="618" t="str">
        <f>IF(Инфо!H24="","",Инфо!H24)</f>
        <v/>
      </c>
      <c r="V27" s="619"/>
      <c r="W27" s="619"/>
      <c r="X27" s="619"/>
      <c r="Y27" s="619"/>
      <c r="Z27" s="619"/>
      <c r="AA27" s="619"/>
      <c r="AB27" s="619"/>
      <c r="AC27" s="620"/>
      <c r="AD27" s="618" t="str">
        <f>IF(Инфо!J24="","",Инфо!J24)</f>
        <v/>
      </c>
      <c r="AE27" s="619"/>
      <c r="AF27" s="619"/>
      <c r="AG27" s="619"/>
      <c r="AH27" s="619"/>
      <c r="AI27" s="619"/>
      <c r="AJ27" s="619"/>
      <c r="AK27" s="619"/>
      <c r="AL27" s="620"/>
      <c r="AM27" s="618" t="str">
        <f>IF(Инфо!L24="","",Инфо!L24)</f>
        <v/>
      </c>
      <c r="AN27" s="619"/>
      <c r="AO27" s="619"/>
      <c r="AP27" s="619"/>
      <c r="AQ27" s="619"/>
      <c r="AR27" s="619"/>
      <c r="AS27" s="619"/>
      <c r="AT27" s="619"/>
      <c r="AU27" s="620"/>
    </row>
    <row r="28" spans="1:55" ht="9.75" customHeight="1" x14ac:dyDescent="0.2">
      <c r="A28" s="112" t="s">
        <v>478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6"/>
      <c r="M28" s="567"/>
      <c r="N28" s="567"/>
      <c r="O28" s="567"/>
      <c r="P28" s="567"/>
      <c r="Q28" s="567"/>
      <c r="R28" s="567"/>
      <c r="S28" s="567"/>
      <c r="T28" s="568"/>
      <c r="U28" s="566"/>
      <c r="V28" s="567"/>
      <c r="W28" s="567"/>
      <c r="X28" s="567"/>
      <c r="Y28" s="567"/>
      <c r="Z28" s="567"/>
      <c r="AA28" s="567"/>
      <c r="AB28" s="567"/>
      <c r="AC28" s="568"/>
      <c r="AD28" s="566"/>
      <c r="AE28" s="567"/>
      <c r="AF28" s="567"/>
      <c r="AG28" s="567"/>
      <c r="AH28" s="567"/>
      <c r="AI28" s="567"/>
      <c r="AJ28" s="567"/>
      <c r="AK28" s="567"/>
      <c r="AL28" s="568"/>
      <c r="AM28" s="566"/>
      <c r="AN28" s="567"/>
      <c r="AO28" s="567"/>
      <c r="AP28" s="567"/>
      <c r="AQ28" s="567"/>
      <c r="AR28" s="567"/>
      <c r="AS28" s="567"/>
      <c r="AT28" s="567"/>
      <c r="AU28" s="568"/>
    </row>
    <row r="29" spans="1:55" ht="9.75" customHeight="1" x14ac:dyDescent="0.2">
      <c r="A29" s="130" t="s">
        <v>175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618" t="str">
        <f>IF(Инфо!F25="","",Инфо!F25)</f>
        <v/>
      </c>
      <c r="M29" s="619"/>
      <c r="N29" s="619"/>
      <c r="O29" s="619"/>
      <c r="P29" s="619"/>
      <c r="Q29" s="619"/>
      <c r="R29" s="619"/>
      <c r="S29" s="619"/>
      <c r="T29" s="620"/>
      <c r="U29" s="618" t="str">
        <f>IF(Инфо!H25="","",Инфо!H25)</f>
        <v/>
      </c>
      <c r="V29" s="619"/>
      <c r="W29" s="619"/>
      <c r="X29" s="619"/>
      <c r="Y29" s="619"/>
      <c r="Z29" s="619"/>
      <c r="AA29" s="619"/>
      <c r="AB29" s="619"/>
      <c r="AC29" s="620"/>
      <c r="AD29" s="618" t="str">
        <f>IF(Инфо!J25="","",Инфо!J25)</f>
        <v/>
      </c>
      <c r="AE29" s="619"/>
      <c r="AF29" s="619"/>
      <c r="AG29" s="619"/>
      <c r="AH29" s="619"/>
      <c r="AI29" s="619"/>
      <c r="AJ29" s="619"/>
      <c r="AK29" s="619"/>
      <c r="AL29" s="620"/>
      <c r="AM29" s="618" t="str">
        <f>IF(Инфо!L25="","",Инфо!L25)</f>
        <v/>
      </c>
      <c r="AN29" s="619"/>
      <c r="AO29" s="619"/>
      <c r="AP29" s="619"/>
      <c r="AQ29" s="619"/>
      <c r="AR29" s="619"/>
      <c r="AS29" s="619"/>
      <c r="AT29" s="619"/>
      <c r="AU29" s="620"/>
    </row>
    <row r="30" spans="1:55" ht="9.75" customHeight="1" thickBot="1" x14ac:dyDescent="0.25">
      <c r="A30" s="133" t="s">
        <v>477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21"/>
      <c r="M30" s="622"/>
      <c r="N30" s="622"/>
      <c r="O30" s="622"/>
      <c r="P30" s="622"/>
      <c r="Q30" s="622"/>
      <c r="R30" s="622"/>
      <c r="S30" s="622"/>
      <c r="T30" s="623"/>
      <c r="U30" s="621"/>
      <c r="V30" s="622"/>
      <c r="W30" s="622"/>
      <c r="X30" s="622"/>
      <c r="Y30" s="622"/>
      <c r="Z30" s="622"/>
      <c r="AA30" s="622"/>
      <c r="AB30" s="622"/>
      <c r="AC30" s="623"/>
      <c r="AD30" s="621"/>
      <c r="AE30" s="622"/>
      <c r="AF30" s="622"/>
      <c r="AG30" s="622"/>
      <c r="AH30" s="622"/>
      <c r="AI30" s="622"/>
      <c r="AJ30" s="622"/>
      <c r="AK30" s="622"/>
      <c r="AL30" s="623"/>
      <c r="AM30" s="621"/>
      <c r="AN30" s="622"/>
      <c r="AO30" s="622"/>
      <c r="AP30" s="622"/>
      <c r="AQ30" s="622"/>
      <c r="AR30" s="622"/>
      <c r="AS30" s="622"/>
      <c r="AT30" s="622"/>
      <c r="AU30" s="623"/>
    </row>
    <row r="31" spans="1:55" ht="9.75" customHeight="1" thickTop="1" x14ac:dyDescent="0.2">
      <c r="A31" s="134" t="s">
        <v>176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561" t="s">
        <v>165</v>
      </c>
      <c r="U31" s="348"/>
      <c r="V31" s="348"/>
      <c r="W31" s="349"/>
      <c r="X31" s="348"/>
      <c r="Y31" s="349"/>
      <c r="Z31" s="348"/>
      <c r="AA31" s="348"/>
      <c r="AB31" s="348"/>
      <c r="AC31" s="561" t="s">
        <v>165</v>
      </c>
      <c r="AD31" s="348"/>
      <c r="AE31" s="348"/>
      <c r="AF31" s="349"/>
      <c r="AG31" s="348"/>
      <c r="AH31" s="349"/>
      <c r="AI31" s="348"/>
      <c r="AJ31" s="348"/>
      <c r="AK31" s="348"/>
      <c r="AL31" s="561" t="s">
        <v>165</v>
      </c>
      <c r="AM31" s="350"/>
      <c r="AN31" s="350"/>
      <c r="AO31" s="351"/>
      <c r="AP31" s="350"/>
      <c r="AQ31" s="351"/>
      <c r="AR31" s="350"/>
      <c r="AS31" s="350"/>
      <c r="AT31" s="350"/>
      <c r="AU31" s="561" t="s">
        <v>165</v>
      </c>
    </row>
    <row r="32" spans="1:55" ht="9.75" customHeight="1" thickBot="1" x14ac:dyDescent="0.25">
      <c r="A32" s="137" t="s">
        <v>177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562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562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562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562"/>
      <c r="AV32" s="100"/>
    </row>
    <row r="33" spans="1:48" ht="9.75" customHeight="1" thickTop="1" x14ac:dyDescent="0.2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35">
      <c r="A34" s="314" t="s">
        <v>178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186</v>
      </c>
      <c r="M34" s="312"/>
      <c r="N34" s="316"/>
      <c r="O34" s="560" t="str">
        <f>IF(Инфо!C8="","",Инфо!C8)</f>
        <v/>
      </c>
      <c r="P34" s="560"/>
      <c r="Q34" s="560"/>
      <c r="R34" s="560"/>
      <c r="S34" s="560"/>
      <c r="T34" s="560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4">
      <c r="A35" s="318" t="s">
        <v>179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"/>
    <row r="37" spans="1:48" ht="12.75" x14ac:dyDescent="0.2">
      <c r="W37" s="575" t="s">
        <v>146</v>
      </c>
      <c r="X37" s="575"/>
      <c r="Y37" s="575"/>
      <c r="Z37" s="575"/>
      <c r="AA37" s="575"/>
      <c r="AB37" s="575"/>
      <c r="AC37" s="575"/>
      <c r="AD37" s="575"/>
      <c r="AE37" s="575"/>
      <c r="AF37" s="575"/>
      <c r="AG37" s="575"/>
      <c r="AH37" s="575"/>
      <c r="AI37" s="575"/>
      <c r="AJ37" s="575"/>
      <c r="AK37" s="575"/>
      <c r="AL37" s="575"/>
      <c r="AM37" s="575"/>
      <c r="AN37" s="575"/>
      <c r="AO37" s="575"/>
      <c r="AP37" s="575"/>
      <c r="AQ37" s="575"/>
      <c r="AR37" s="575"/>
      <c r="AS37" s="575"/>
      <c r="AT37" s="575"/>
      <c r="AU37" s="575"/>
      <c r="AV37" s="575"/>
    </row>
    <row r="38" spans="1:48" ht="3.75" customHeight="1" thickBot="1" x14ac:dyDescent="0.25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">
      <c r="A39" s="232"/>
      <c r="B39" s="233"/>
      <c r="C39" s="233"/>
      <c r="D39" s="233"/>
      <c r="E39" s="233"/>
      <c r="F39" s="97" t="s">
        <v>147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576" t="s">
        <v>481</v>
      </c>
      <c r="AE39" s="576"/>
      <c r="AF39" s="576"/>
      <c r="AG39" s="576"/>
      <c r="AH39" s="577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">
      <c r="A40" s="236"/>
      <c r="B40" s="233"/>
      <c r="C40" s="233"/>
      <c r="D40" s="233"/>
      <c r="E40" s="233"/>
      <c r="F40" s="578" t="s">
        <v>148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9"/>
      <c r="AC40" s="98"/>
      <c r="AD40" s="579" t="s">
        <v>480</v>
      </c>
      <c r="AE40" s="579"/>
      <c r="AF40" s="579"/>
      <c r="AG40" s="579"/>
      <c r="AH40" s="580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">
      <c r="A41" s="236"/>
      <c r="B41" s="233"/>
      <c r="C41" s="233"/>
      <c r="D41" s="233"/>
      <c r="E41" s="233"/>
      <c r="F41" s="581" t="str">
        <f>F5</f>
        <v>образец № 6    2017 г.</v>
      </c>
      <c r="G41" s="581"/>
      <c r="H41" s="581"/>
      <c r="I41" s="581"/>
      <c r="J41" s="581"/>
      <c r="K41" s="581"/>
      <c r="L41" s="581"/>
      <c r="M41" s="581"/>
      <c r="N41" s="581"/>
      <c r="O41" s="581"/>
      <c r="P41" s="581"/>
      <c r="Q41" s="581"/>
      <c r="R41" s="581"/>
      <c r="S41" s="581"/>
      <c r="T41" s="581"/>
      <c r="U41" s="581"/>
      <c r="V41" s="581"/>
      <c r="W41" s="581"/>
      <c r="X41" s="581"/>
      <c r="Y41" s="581"/>
      <c r="Z41" s="581"/>
      <c r="AA41" s="581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25">
      <c r="A42" s="239"/>
      <c r="B42" s="240"/>
      <c r="C42" s="103"/>
      <c r="D42" s="103"/>
      <c r="E42" s="582" t="s">
        <v>149</v>
      </c>
      <c r="F42" s="582"/>
      <c r="G42" s="582"/>
      <c r="H42" s="582"/>
      <c r="I42" s="582"/>
      <c r="J42" s="582"/>
      <c r="K42" s="582"/>
      <c r="L42" s="582"/>
      <c r="M42" s="582"/>
      <c r="N42" s="582"/>
      <c r="O42" s="582"/>
      <c r="P42" s="582"/>
      <c r="Q42" s="582"/>
      <c r="R42" s="582"/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">
      <c r="A43" s="106" t="s">
        <v>150</v>
      </c>
      <c r="B43" s="107"/>
      <c r="C43" s="107"/>
      <c r="D43" s="107"/>
      <c r="E43" s="107"/>
      <c r="F43" s="107"/>
      <c r="G43" s="107"/>
      <c r="H43" s="108"/>
      <c r="I43" s="605" t="str">
        <f>I7</f>
        <v>Проба ЕООД</v>
      </c>
      <c r="J43" s="546"/>
      <c r="K43" s="546"/>
      <c r="L43" s="546"/>
      <c r="M43" s="546"/>
      <c r="N43" s="546"/>
      <c r="O43" s="546"/>
      <c r="P43" s="546"/>
      <c r="Q43" s="546"/>
      <c r="R43" s="546"/>
      <c r="S43" s="546"/>
      <c r="T43" s="546"/>
      <c r="U43" s="546"/>
      <c r="V43" s="546"/>
      <c r="W43" s="546"/>
      <c r="X43" s="546"/>
      <c r="Y43" s="546"/>
      <c r="Z43" s="546"/>
      <c r="AA43" s="546"/>
      <c r="AB43" s="546"/>
      <c r="AC43" s="546"/>
      <c r="AD43" s="546"/>
      <c r="AE43" s="546"/>
      <c r="AF43" s="546"/>
      <c r="AG43" s="546"/>
      <c r="AH43" s="546"/>
      <c r="AI43" s="546"/>
      <c r="AJ43" s="546"/>
      <c r="AK43" s="546"/>
      <c r="AL43" s="546"/>
      <c r="AM43" s="546"/>
      <c r="AN43" s="546"/>
      <c r="AO43" s="546"/>
      <c r="AP43" s="606"/>
      <c r="AQ43" s="111" t="s">
        <v>151</v>
      </c>
      <c r="AR43" s="109"/>
      <c r="AS43" s="109"/>
      <c r="AT43" s="110"/>
      <c r="AU43" s="603">
        <f>AU7</f>
        <v>0</v>
      </c>
    </row>
    <row r="44" spans="1:48" ht="9.75" customHeight="1" x14ac:dyDescent="0.2">
      <c r="A44" s="112" t="s">
        <v>482</v>
      </c>
      <c r="B44" s="113"/>
      <c r="C44" s="113"/>
      <c r="D44" s="113"/>
      <c r="E44" s="113"/>
      <c r="F44" s="113"/>
      <c r="G44" s="113"/>
      <c r="H44" s="114"/>
      <c r="I44" s="607"/>
      <c r="J44" s="608"/>
      <c r="K44" s="608"/>
      <c r="L44" s="608"/>
      <c r="M44" s="608"/>
      <c r="N44" s="608"/>
      <c r="O44" s="608"/>
      <c r="P44" s="608"/>
      <c r="Q44" s="608"/>
      <c r="R44" s="608"/>
      <c r="S44" s="608"/>
      <c r="T44" s="608"/>
      <c r="U44" s="608"/>
      <c r="V44" s="608"/>
      <c r="W44" s="608"/>
      <c r="X44" s="608"/>
      <c r="Y44" s="608"/>
      <c r="Z44" s="608"/>
      <c r="AA44" s="608"/>
      <c r="AB44" s="608"/>
      <c r="AC44" s="608"/>
      <c r="AD44" s="608"/>
      <c r="AE44" s="608"/>
      <c r="AF44" s="608"/>
      <c r="AG44" s="608"/>
      <c r="AH44" s="608"/>
      <c r="AI44" s="608"/>
      <c r="AJ44" s="608"/>
      <c r="AK44" s="608"/>
      <c r="AL44" s="608"/>
      <c r="AM44" s="608"/>
      <c r="AN44" s="608"/>
      <c r="AO44" s="608"/>
      <c r="AP44" s="609"/>
      <c r="AQ44" s="117" t="s">
        <v>109</v>
      </c>
      <c r="AR44" s="115"/>
      <c r="AS44" s="115"/>
      <c r="AT44" s="116"/>
      <c r="AU44" s="604"/>
    </row>
    <row r="45" spans="1:48" ht="9.75" customHeight="1" x14ac:dyDescent="0.2">
      <c r="A45" s="624" t="s">
        <v>152</v>
      </c>
      <c r="B45" s="584"/>
      <c r="C45" s="584"/>
      <c r="D45" s="585"/>
      <c r="E45" s="610" t="str">
        <f>E9</f>
        <v/>
      </c>
      <c r="F45" s="611"/>
      <c r="G45" s="611"/>
      <c r="H45" s="611"/>
      <c r="I45" s="611"/>
      <c r="J45" s="611"/>
      <c r="K45" s="611"/>
      <c r="L45" s="611"/>
      <c r="M45" s="611"/>
      <c r="N45" s="611"/>
      <c r="O45" s="611"/>
      <c r="P45" s="611"/>
      <c r="Q45" s="612"/>
      <c r="R45" s="583" t="s">
        <v>153</v>
      </c>
      <c r="S45" s="584"/>
      <c r="T45" s="584"/>
      <c r="U45" s="585"/>
      <c r="V45" s="610" t="str">
        <f>V9</f>
        <v/>
      </c>
      <c r="W45" s="611"/>
      <c r="X45" s="611"/>
      <c r="Y45" s="611"/>
      <c r="Z45" s="611"/>
      <c r="AA45" s="611"/>
      <c r="AB45" s="611"/>
      <c r="AC45" s="611"/>
      <c r="AD45" s="611"/>
      <c r="AE45" s="611"/>
      <c r="AF45" s="611"/>
      <c r="AG45" s="612"/>
      <c r="AH45" s="583" t="s">
        <v>154</v>
      </c>
      <c r="AI45" s="584"/>
      <c r="AJ45" s="585"/>
      <c r="AK45" s="610" t="str">
        <f>AK9</f>
        <v/>
      </c>
      <c r="AL45" s="611"/>
      <c r="AM45" s="611"/>
      <c r="AN45" s="611"/>
      <c r="AO45" s="611"/>
      <c r="AP45" s="611"/>
      <c r="AQ45" s="611"/>
      <c r="AR45" s="611"/>
      <c r="AS45" s="611"/>
      <c r="AT45" s="611"/>
      <c r="AU45" s="616"/>
    </row>
    <row r="46" spans="1:48" ht="9.75" customHeight="1" thickBot="1" x14ac:dyDescent="0.25">
      <c r="A46" s="625"/>
      <c r="B46" s="587"/>
      <c r="C46" s="587"/>
      <c r="D46" s="588"/>
      <c r="E46" s="613"/>
      <c r="F46" s="614"/>
      <c r="G46" s="614"/>
      <c r="H46" s="614"/>
      <c r="I46" s="614"/>
      <c r="J46" s="614"/>
      <c r="K46" s="614"/>
      <c r="L46" s="614"/>
      <c r="M46" s="614"/>
      <c r="N46" s="614"/>
      <c r="O46" s="614"/>
      <c r="P46" s="614"/>
      <c r="Q46" s="615"/>
      <c r="R46" s="586"/>
      <c r="S46" s="587"/>
      <c r="T46" s="587"/>
      <c r="U46" s="588"/>
      <c r="V46" s="613"/>
      <c r="W46" s="614"/>
      <c r="X46" s="614"/>
      <c r="Y46" s="614"/>
      <c r="Z46" s="614"/>
      <c r="AA46" s="614"/>
      <c r="AB46" s="614"/>
      <c r="AC46" s="614"/>
      <c r="AD46" s="614"/>
      <c r="AE46" s="614"/>
      <c r="AF46" s="614"/>
      <c r="AG46" s="615"/>
      <c r="AH46" s="586"/>
      <c r="AI46" s="587"/>
      <c r="AJ46" s="588"/>
      <c r="AK46" s="613"/>
      <c r="AL46" s="614"/>
      <c r="AM46" s="614"/>
      <c r="AN46" s="614"/>
      <c r="AO46" s="614"/>
      <c r="AP46" s="614"/>
      <c r="AQ46" s="614"/>
      <c r="AR46" s="614"/>
      <c r="AS46" s="614"/>
      <c r="AT46" s="614"/>
      <c r="AU46" s="617"/>
    </row>
    <row r="47" spans="1:48" ht="9.75" customHeight="1" thickTop="1" x14ac:dyDescent="0.2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155</v>
      </c>
      <c r="M47" s="118"/>
      <c r="N47" s="118"/>
      <c r="O47" s="118"/>
      <c r="P47" s="599" t="str">
        <f>P11</f>
        <v/>
      </c>
      <c r="Q47" s="601" t="s">
        <v>156</v>
      </c>
      <c r="R47" s="601"/>
      <c r="S47" s="601"/>
      <c r="T47" s="602"/>
      <c r="U47" s="119" t="s">
        <v>157</v>
      </c>
      <c r="V47" s="118"/>
      <c r="W47" s="118"/>
      <c r="X47" s="118"/>
      <c r="Y47" s="599" t="str">
        <f>Y11</f>
        <v/>
      </c>
      <c r="Z47" s="601" t="s">
        <v>158</v>
      </c>
      <c r="AA47" s="601"/>
      <c r="AB47" s="601"/>
      <c r="AC47" s="602"/>
      <c r="AD47" s="119" t="s">
        <v>159</v>
      </c>
      <c r="AE47" s="118"/>
      <c r="AF47" s="118"/>
      <c r="AG47" s="118"/>
      <c r="AH47" s="599" t="str">
        <f>AH11</f>
        <v/>
      </c>
      <c r="AI47" s="601" t="s">
        <v>160</v>
      </c>
      <c r="AJ47" s="601"/>
      <c r="AK47" s="601"/>
      <c r="AL47" s="602"/>
      <c r="AM47" s="119" t="s">
        <v>161</v>
      </c>
      <c r="AN47" s="118"/>
      <c r="AO47" s="118"/>
      <c r="AP47" s="118"/>
      <c r="AQ47" s="599" t="str">
        <f>AQ11</f>
        <v/>
      </c>
      <c r="AR47" s="601" t="s">
        <v>162</v>
      </c>
      <c r="AS47" s="601"/>
      <c r="AT47" s="601"/>
      <c r="AU47" s="602"/>
    </row>
    <row r="48" spans="1:48" ht="9.75" customHeight="1" thickBot="1" x14ac:dyDescent="0.25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108</v>
      </c>
      <c r="M48" s="120"/>
      <c r="N48" s="120"/>
      <c r="O48" s="120"/>
      <c r="P48" s="600"/>
      <c r="Q48" s="307" t="s">
        <v>163</v>
      </c>
      <c r="R48" s="307"/>
      <c r="S48" s="308"/>
      <c r="T48" s="309"/>
      <c r="U48" s="121" t="s">
        <v>108</v>
      </c>
      <c r="V48" s="120"/>
      <c r="W48" s="120"/>
      <c r="X48" s="120"/>
      <c r="Y48" s="600"/>
      <c r="Z48" s="310" t="s">
        <v>163</v>
      </c>
      <c r="AA48" s="307"/>
      <c r="AB48" s="308"/>
      <c r="AC48" s="309"/>
      <c r="AD48" s="120" t="s">
        <v>108</v>
      </c>
      <c r="AE48" s="120"/>
      <c r="AF48" s="120"/>
      <c r="AG48" s="120"/>
      <c r="AH48" s="600"/>
      <c r="AI48" s="310" t="s">
        <v>163</v>
      </c>
      <c r="AJ48" s="307"/>
      <c r="AK48" s="308"/>
      <c r="AL48" s="309"/>
      <c r="AM48" s="121" t="s">
        <v>108</v>
      </c>
      <c r="AN48" s="120"/>
      <c r="AO48" s="120"/>
      <c r="AP48" s="120"/>
      <c r="AQ48" s="600"/>
      <c r="AR48" s="310" t="s">
        <v>163</v>
      </c>
      <c r="AS48" s="307"/>
      <c r="AT48" s="308"/>
      <c r="AU48" s="309"/>
    </row>
    <row r="49" spans="1:47" ht="9.75" customHeight="1" thickTop="1" x14ac:dyDescent="0.2">
      <c r="A49" s="589" t="s">
        <v>164</v>
      </c>
      <c r="B49" s="590"/>
      <c r="C49" s="590"/>
      <c r="D49" s="590"/>
      <c r="E49" s="590"/>
      <c r="F49" s="590"/>
      <c r="G49" s="590"/>
      <c r="H49" s="590"/>
      <c r="I49" s="590"/>
      <c r="J49" s="590"/>
      <c r="K49" s="591"/>
      <c r="L49" s="354"/>
      <c r="M49" s="355"/>
      <c r="N49" s="354"/>
      <c r="O49" s="338"/>
      <c r="P49" s="338"/>
      <c r="Q49" s="339"/>
      <c r="R49" s="340"/>
      <c r="S49" s="595" t="str">
        <f>S13</f>
        <v/>
      </c>
      <c r="T49" s="596"/>
      <c r="U49" s="356"/>
      <c r="V49" s="355"/>
      <c r="W49" s="354"/>
      <c r="X49" s="338"/>
      <c r="Y49" s="338"/>
      <c r="Z49" s="339"/>
      <c r="AA49" s="340"/>
      <c r="AB49" s="595" t="str">
        <f>AB13</f>
        <v/>
      </c>
      <c r="AC49" s="596"/>
      <c r="AD49" s="354"/>
      <c r="AE49" s="355"/>
      <c r="AF49" s="354"/>
      <c r="AG49" s="338"/>
      <c r="AH49" s="338"/>
      <c r="AI49" s="339"/>
      <c r="AJ49" s="342"/>
      <c r="AK49" s="595" t="str">
        <f>AK13</f>
        <v/>
      </c>
      <c r="AL49" s="596"/>
      <c r="AM49" s="356"/>
      <c r="AN49" s="355"/>
      <c r="AO49" s="354"/>
      <c r="AP49" s="338"/>
      <c r="AQ49" s="338"/>
      <c r="AR49" s="339"/>
      <c r="AS49" s="340"/>
      <c r="AT49" s="595" t="str">
        <f>AT13</f>
        <v/>
      </c>
      <c r="AU49" s="596"/>
    </row>
    <row r="50" spans="1:47" ht="9.75" customHeight="1" thickBot="1" x14ac:dyDescent="0.25">
      <c r="A50" s="592"/>
      <c r="B50" s="593"/>
      <c r="C50" s="593"/>
      <c r="D50" s="593"/>
      <c r="E50" s="593"/>
      <c r="F50" s="593"/>
      <c r="G50" s="593"/>
      <c r="H50" s="593"/>
      <c r="I50" s="593"/>
      <c r="J50" s="593"/>
      <c r="K50" s="594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165</v>
      </c>
      <c r="S50" s="597"/>
      <c r="T50" s="598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165</v>
      </c>
      <c r="AB50" s="597"/>
      <c r="AC50" s="598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165</v>
      </c>
      <c r="AK50" s="597"/>
      <c r="AL50" s="598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165</v>
      </c>
      <c r="AT50" s="597"/>
      <c r="AU50" s="598"/>
    </row>
    <row r="51" spans="1:47" ht="9.75" customHeight="1" x14ac:dyDescent="0.2">
      <c r="A51" s="569" t="s">
        <v>166</v>
      </c>
      <c r="B51" s="570"/>
      <c r="C51" s="570"/>
      <c r="D51" s="570"/>
      <c r="E51" s="570"/>
      <c r="F51" s="570"/>
      <c r="G51" s="570"/>
      <c r="H51" s="570"/>
      <c r="I51" s="570"/>
      <c r="J51" s="570"/>
      <c r="K51" s="571"/>
      <c r="L51" s="563" t="str">
        <f>L15</f>
        <v/>
      </c>
      <c r="M51" s="564"/>
      <c r="N51" s="564"/>
      <c r="O51" s="564"/>
      <c r="P51" s="564"/>
      <c r="Q51" s="564"/>
      <c r="R51" s="564"/>
      <c r="S51" s="564"/>
      <c r="T51" s="565"/>
      <c r="U51" s="563" t="str">
        <f>U15</f>
        <v/>
      </c>
      <c r="V51" s="564"/>
      <c r="W51" s="564"/>
      <c r="X51" s="564"/>
      <c r="Y51" s="564"/>
      <c r="Z51" s="564"/>
      <c r="AA51" s="564"/>
      <c r="AB51" s="564"/>
      <c r="AC51" s="565"/>
      <c r="AD51" s="563" t="str">
        <f>AD15</f>
        <v/>
      </c>
      <c r="AE51" s="564"/>
      <c r="AF51" s="564"/>
      <c r="AG51" s="564"/>
      <c r="AH51" s="564"/>
      <c r="AI51" s="564"/>
      <c r="AJ51" s="564"/>
      <c r="AK51" s="564"/>
      <c r="AL51" s="565"/>
      <c r="AM51" s="563" t="str">
        <f>AM15</f>
        <v/>
      </c>
      <c r="AN51" s="564"/>
      <c r="AO51" s="564"/>
      <c r="AP51" s="564"/>
      <c r="AQ51" s="564"/>
      <c r="AR51" s="564"/>
      <c r="AS51" s="564"/>
      <c r="AT51" s="564"/>
      <c r="AU51" s="565"/>
    </row>
    <row r="52" spans="1:47" ht="9.75" customHeight="1" x14ac:dyDescent="0.2">
      <c r="A52" s="572"/>
      <c r="B52" s="573"/>
      <c r="C52" s="573"/>
      <c r="D52" s="573"/>
      <c r="E52" s="573"/>
      <c r="F52" s="573"/>
      <c r="G52" s="573"/>
      <c r="H52" s="573"/>
      <c r="I52" s="573"/>
      <c r="J52" s="573"/>
      <c r="K52" s="574"/>
      <c r="L52" s="566" t="str">
        <f>L15</f>
        <v/>
      </c>
      <c r="M52" s="567"/>
      <c r="N52" s="567"/>
      <c r="O52" s="567"/>
      <c r="P52" s="567"/>
      <c r="Q52" s="567"/>
      <c r="R52" s="567"/>
      <c r="S52" s="567"/>
      <c r="T52" s="568"/>
      <c r="U52" s="566" t="str">
        <f>U15</f>
        <v/>
      </c>
      <c r="V52" s="567"/>
      <c r="W52" s="567"/>
      <c r="X52" s="567"/>
      <c r="Y52" s="567"/>
      <c r="Z52" s="567"/>
      <c r="AA52" s="567"/>
      <c r="AB52" s="567"/>
      <c r="AC52" s="568"/>
      <c r="AD52" s="566" t="str">
        <f>AD15</f>
        <v/>
      </c>
      <c r="AE52" s="567"/>
      <c r="AF52" s="567"/>
      <c r="AG52" s="567"/>
      <c r="AH52" s="567"/>
      <c r="AI52" s="567"/>
      <c r="AJ52" s="567"/>
      <c r="AK52" s="567"/>
      <c r="AL52" s="568"/>
      <c r="AM52" s="566" t="str">
        <f>AM15</f>
        <v/>
      </c>
      <c r="AN52" s="567"/>
      <c r="AO52" s="567"/>
      <c r="AP52" s="567"/>
      <c r="AQ52" s="567"/>
      <c r="AR52" s="567"/>
      <c r="AS52" s="567"/>
      <c r="AT52" s="567"/>
      <c r="AU52" s="568"/>
    </row>
    <row r="53" spans="1:47" ht="9.75" customHeight="1" x14ac:dyDescent="0.2">
      <c r="A53" s="106" t="s">
        <v>167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3" t="str">
        <f>L17</f>
        <v/>
      </c>
      <c r="M53" s="564"/>
      <c r="N53" s="564"/>
      <c r="O53" s="564"/>
      <c r="P53" s="564"/>
      <c r="Q53" s="564"/>
      <c r="R53" s="564"/>
      <c r="S53" s="564"/>
      <c r="T53" s="565"/>
      <c r="U53" s="563" t="str">
        <f>U17</f>
        <v/>
      </c>
      <c r="V53" s="564"/>
      <c r="W53" s="564"/>
      <c r="X53" s="564"/>
      <c r="Y53" s="564"/>
      <c r="Z53" s="564"/>
      <c r="AA53" s="564"/>
      <c r="AB53" s="564"/>
      <c r="AC53" s="565"/>
      <c r="AD53" s="563" t="str">
        <f>AD17</f>
        <v/>
      </c>
      <c r="AE53" s="564"/>
      <c r="AF53" s="564"/>
      <c r="AG53" s="564"/>
      <c r="AH53" s="564"/>
      <c r="AI53" s="564"/>
      <c r="AJ53" s="564"/>
      <c r="AK53" s="564"/>
      <c r="AL53" s="565"/>
      <c r="AM53" s="563" t="str">
        <f>AM17</f>
        <v/>
      </c>
      <c r="AN53" s="564"/>
      <c r="AO53" s="564"/>
      <c r="AP53" s="564"/>
      <c r="AQ53" s="564"/>
      <c r="AR53" s="564"/>
      <c r="AS53" s="564"/>
      <c r="AT53" s="564"/>
      <c r="AU53" s="565"/>
    </row>
    <row r="54" spans="1:47" ht="9.75" customHeight="1" x14ac:dyDescent="0.2">
      <c r="A54" s="123" t="s">
        <v>168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6" t="str">
        <f>L17</f>
        <v/>
      </c>
      <c r="M54" s="567"/>
      <c r="N54" s="567"/>
      <c r="O54" s="567"/>
      <c r="P54" s="567"/>
      <c r="Q54" s="567"/>
      <c r="R54" s="567"/>
      <c r="S54" s="567"/>
      <c r="T54" s="568"/>
      <c r="U54" s="566" t="str">
        <f>U17</f>
        <v/>
      </c>
      <c r="V54" s="567"/>
      <c r="W54" s="567"/>
      <c r="X54" s="567"/>
      <c r="Y54" s="567"/>
      <c r="Z54" s="567"/>
      <c r="AA54" s="567"/>
      <c r="AB54" s="567"/>
      <c r="AC54" s="568"/>
      <c r="AD54" s="566" t="str">
        <f>AD17</f>
        <v/>
      </c>
      <c r="AE54" s="567"/>
      <c r="AF54" s="567"/>
      <c r="AG54" s="567"/>
      <c r="AH54" s="567"/>
      <c r="AI54" s="567"/>
      <c r="AJ54" s="567"/>
      <c r="AK54" s="567"/>
      <c r="AL54" s="568"/>
      <c r="AM54" s="566" t="str">
        <f>AM17</f>
        <v/>
      </c>
      <c r="AN54" s="567"/>
      <c r="AO54" s="567"/>
      <c r="AP54" s="567"/>
      <c r="AQ54" s="567"/>
      <c r="AR54" s="567"/>
      <c r="AS54" s="567"/>
      <c r="AT54" s="567"/>
      <c r="AU54" s="568"/>
    </row>
    <row r="55" spans="1:47" ht="9.75" customHeight="1" x14ac:dyDescent="0.25">
      <c r="A55" s="428" t="s">
        <v>603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3" t="str">
        <f>L19</f>
        <v/>
      </c>
      <c r="M55" s="564"/>
      <c r="N55" s="564"/>
      <c r="O55" s="564"/>
      <c r="P55" s="564"/>
      <c r="Q55" s="564"/>
      <c r="R55" s="564"/>
      <c r="S55" s="564"/>
      <c r="T55" s="565"/>
      <c r="U55" s="563" t="str">
        <f>U19</f>
        <v/>
      </c>
      <c r="V55" s="564"/>
      <c r="W55" s="564"/>
      <c r="X55" s="564"/>
      <c r="Y55" s="564"/>
      <c r="Z55" s="564"/>
      <c r="AA55" s="564"/>
      <c r="AB55" s="564"/>
      <c r="AC55" s="565"/>
      <c r="AD55" s="563" t="str">
        <f>AD19</f>
        <v/>
      </c>
      <c r="AE55" s="564"/>
      <c r="AF55" s="564"/>
      <c r="AG55" s="564"/>
      <c r="AH55" s="564"/>
      <c r="AI55" s="564"/>
      <c r="AJ55" s="564"/>
      <c r="AK55" s="564"/>
      <c r="AL55" s="565"/>
      <c r="AM55" s="563" t="str">
        <f>AM19</f>
        <v/>
      </c>
      <c r="AN55" s="564"/>
      <c r="AO55" s="564"/>
      <c r="AP55" s="564"/>
      <c r="AQ55" s="564"/>
      <c r="AR55" s="564"/>
      <c r="AS55" s="564"/>
      <c r="AT55" s="564"/>
      <c r="AU55" s="565"/>
    </row>
    <row r="56" spans="1:47" ht="9.75" customHeight="1" x14ac:dyDescent="0.2">
      <c r="A56" s="429" t="s">
        <v>604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6" t="str">
        <f>L19</f>
        <v/>
      </c>
      <c r="M56" s="567"/>
      <c r="N56" s="567"/>
      <c r="O56" s="567"/>
      <c r="P56" s="567"/>
      <c r="Q56" s="567"/>
      <c r="R56" s="567"/>
      <c r="S56" s="567"/>
      <c r="T56" s="568"/>
      <c r="U56" s="566" t="str">
        <f>U19</f>
        <v/>
      </c>
      <c r="V56" s="567"/>
      <c r="W56" s="567"/>
      <c r="X56" s="567"/>
      <c r="Y56" s="567"/>
      <c r="Z56" s="567"/>
      <c r="AA56" s="567"/>
      <c r="AB56" s="567"/>
      <c r="AC56" s="568"/>
      <c r="AD56" s="566" t="str">
        <f>AD19</f>
        <v/>
      </c>
      <c r="AE56" s="567"/>
      <c r="AF56" s="567"/>
      <c r="AG56" s="567"/>
      <c r="AH56" s="567"/>
      <c r="AI56" s="567"/>
      <c r="AJ56" s="567"/>
      <c r="AK56" s="567"/>
      <c r="AL56" s="568"/>
      <c r="AM56" s="566" t="str">
        <f>AM19</f>
        <v/>
      </c>
      <c r="AN56" s="567"/>
      <c r="AO56" s="567"/>
      <c r="AP56" s="567"/>
      <c r="AQ56" s="567"/>
      <c r="AR56" s="567"/>
      <c r="AS56" s="567"/>
      <c r="AT56" s="567"/>
      <c r="AU56" s="568"/>
    </row>
    <row r="57" spans="1:47" ht="9.75" customHeight="1" x14ac:dyDescent="0.2">
      <c r="A57" s="126" t="s">
        <v>169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3" t="str">
        <f>L21</f>
        <v/>
      </c>
      <c r="M57" s="564"/>
      <c r="N57" s="564"/>
      <c r="O57" s="564"/>
      <c r="P57" s="564"/>
      <c r="Q57" s="564"/>
      <c r="R57" s="564"/>
      <c r="S57" s="564"/>
      <c r="T57" s="565"/>
      <c r="U57" s="563" t="str">
        <f>U21</f>
        <v/>
      </c>
      <c r="V57" s="564"/>
      <c r="W57" s="564"/>
      <c r="X57" s="564"/>
      <c r="Y57" s="564"/>
      <c r="Z57" s="564"/>
      <c r="AA57" s="564"/>
      <c r="AB57" s="564"/>
      <c r="AC57" s="565"/>
      <c r="AD57" s="563" t="str">
        <f>AD21</f>
        <v/>
      </c>
      <c r="AE57" s="564"/>
      <c r="AF57" s="564"/>
      <c r="AG57" s="564"/>
      <c r="AH57" s="564"/>
      <c r="AI57" s="564"/>
      <c r="AJ57" s="564"/>
      <c r="AK57" s="564"/>
      <c r="AL57" s="565"/>
      <c r="AM57" s="563" t="str">
        <f>AM21</f>
        <v/>
      </c>
      <c r="AN57" s="564"/>
      <c r="AO57" s="564"/>
      <c r="AP57" s="564"/>
      <c r="AQ57" s="564"/>
      <c r="AR57" s="564"/>
      <c r="AS57" s="564"/>
      <c r="AT57" s="564"/>
      <c r="AU57" s="565"/>
    </row>
    <row r="58" spans="1:47" ht="9.75" customHeight="1" x14ac:dyDescent="0.2">
      <c r="A58" s="123" t="s">
        <v>170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6" t="str">
        <f>L21</f>
        <v/>
      </c>
      <c r="M58" s="567"/>
      <c r="N58" s="567"/>
      <c r="O58" s="567"/>
      <c r="P58" s="567"/>
      <c r="Q58" s="567"/>
      <c r="R58" s="567"/>
      <c r="S58" s="567"/>
      <c r="T58" s="568"/>
      <c r="U58" s="566" t="str">
        <f>U21</f>
        <v/>
      </c>
      <c r="V58" s="567"/>
      <c r="W58" s="567"/>
      <c r="X58" s="567"/>
      <c r="Y58" s="567"/>
      <c r="Z58" s="567"/>
      <c r="AA58" s="567"/>
      <c r="AB58" s="567"/>
      <c r="AC58" s="568"/>
      <c r="AD58" s="566" t="str">
        <f>AD21</f>
        <v/>
      </c>
      <c r="AE58" s="567"/>
      <c r="AF58" s="567"/>
      <c r="AG58" s="567"/>
      <c r="AH58" s="567"/>
      <c r="AI58" s="567"/>
      <c r="AJ58" s="567"/>
      <c r="AK58" s="567"/>
      <c r="AL58" s="568"/>
      <c r="AM58" s="566" t="str">
        <f>AM21</f>
        <v/>
      </c>
      <c r="AN58" s="567"/>
      <c r="AO58" s="567"/>
      <c r="AP58" s="567"/>
      <c r="AQ58" s="567"/>
      <c r="AR58" s="567"/>
      <c r="AS58" s="567"/>
      <c r="AT58" s="567"/>
      <c r="AU58" s="568"/>
    </row>
    <row r="59" spans="1:47" ht="9.75" customHeight="1" x14ac:dyDescent="0.2">
      <c r="A59" s="126" t="s">
        <v>171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3" t="str">
        <f>L23</f>
        <v/>
      </c>
      <c r="M59" s="564"/>
      <c r="N59" s="564"/>
      <c r="O59" s="564"/>
      <c r="P59" s="564"/>
      <c r="Q59" s="564"/>
      <c r="R59" s="564"/>
      <c r="S59" s="564"/>
      <c r="T59" s="565"/>
      <c r="U59" s="563" t="str">
        <f>U23</f>
        <v/>
      </c>
      <c r="V59" s="564"/>
      <c r="W59" s="564"/>
      <c r="X59" s="564"/>
      <c r="Y59" s="564"/>
      <c r="Z59" s="564"/>
      <c r="AA59" s="564"/>
      <c r="AB59" s="564"/>
      <c r="AC59" s="565"/>
      <c r="AD59" s="563" t="str">
        <f>AD23</f>
        <v/>
      </c>
      <c r="AE59" s="564"/>
      <c r="AF59" s="564"/>
      <c r="AG59" s="564"/>
      <c r="AH59" s="564"/>
      <c r="AI59" s="564"/>
      <c r="AJ59" s="564"/>
      <c r="AK59" s="564"/>
      <c r="AL59" s="565"/>
      <c r="AM59" s="563" t="str">
        <f>AM23</f>
        <v/>
      </c>
      <c r="AN59" s="564"/>
      <c r="AO59" s="564"/>
      <c r="AP59" s="564"/>
      <c r="AQ59" s="564"/>
      <c r="AR59" s="564"/>
      <c r="AS59" s="564"/>
      <c r="AT59" s="564"/>
      <c r="AU59" s="565"/>
    </row>
    <row r="60" spans="1:47" ht="9.75" customHeight="1" x14ac:dyDescent="0.2">
      <c r="A60" s="123" t="s">
        <v>172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6" t="str">
        <f>L23</f>
        <v/>
      </c>
      <c r="M60" s="567"/>
      <c r="N60" s="567"/>
      <c r="O60" s="567"/>
      <c r="P60" s="567"/>
      <c r="Q60" s="567"/>
      <c r="R60" s="567"/>
      <c r="S60" s="567"/>
      <c r="T60" s="568"/>
      <c r="U60" s="566" t="str">
        <f>U23</f>
        <v/>
      </c>
      <c r="V60" s="567"/>
      <c r="W60" s="567"/>
      <c r="X60" s="567"/>
      <c r="Y60" s="567"/>
      <c r="Z60" s="567"/>
      <c r="AA60" s="567"/>
      <c r="AB60" s="567"/>
      <c r="AC60" s="568"/>
      <c r="AD60" s="566" t="str">
        <f>AD23</f>
        <v/>
      </c>
      <c r="AE60" s="567"/>
      <c r="AF60" s="567"/>
      <c r="AG60" s="567"/>
      <c r="AH60" s="567"/>
      <c r="AI60" s="567"/>
      <c r="AJ60" s="567"/>
      <c r="AK60" s="567"/>
      <c r="AL60" s="568"/>
      <c r="AM60" s="566" t="str">
        <f>AM23</f>
        <v/>
      </c>
      <c r="AN60" s="567"/>
      <c r="AO60" s="567"/>
      <c r="AP60" s="567"/>
      <c r="AQ60" s="567"/>
      <c r="AR60" s="567"/>
      <c r="AS60" s="567"/>
      <c r="AT60" s="567"/>
      <c r="AU60" s="568"/>
    </row>
    <row r="61" spans="1:47" ht="9.75" customHeight="1" x14ac:dyDescent="0.2">
      <c r="A61" s="126" t="s">
        <v>173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3" t="str">
        <f>L25</f>
        <v/>
      </c>
      <c r="M61" s="564"/>
      <c r="N61" s="564"/>
      <c r="O61" s="564"/>
      <c r="P61" s="564"/>
      <c r="Q61" s="564"/>
      <c r="R61" s="564"/>
      <c r="S61" s="564"/>
      <c r="T61" s="565"/>
      <c r="U61" s="563" t="str">
        <f>U25</f>
        <v/>
      </c>
      <c r="V61" s="564"/>
      <c r="W61" s="564"/>
      <c r="X61" s="564"/>
      <c r="Y61" s="564"/>
      <c r="Z61" s="564"/>
      <c r="AA61" s="564"/>
      <c r="AB61" s="564"/>
      <c r="AC61" s="565"/>
      <c r="AD61" s="563" t="str">
        <f>AD25</f>
        <v/>
      </c>
      <c r="AE61" s="564"/>
      <c r="AF61" s="564"/>
      <c r="AG61" s="564"/>
      <c r="AH61" s="564"/>
      <c r="AI61" s="564"/>
      <c r="AJ61" s="564"/>
      <c r="AK61" s="564"/>
      <c r="AL61" s="565"/>
      <c r="AM61" s="563" t="str">
        <f>AM25</f>
        <v/>
      </c>
      <c r="AN61" s="564"/>
      <c r="AO61" s="564"/>
      <c r="AP61" s="564"/>
      <c r="AQ61" s="564"/>
      <c r="AR61" s="564"/>
      <c r="AS61" s="564"/>
      <c r="AT61" s="564"/>
      <c r="AU61" s="565"/>
    </row>
    <row r="62" spans="1:47" ht="9.75" customHeight="1" x14ac:dyDescent="0.2">
      <c r="A62" s="123" t="s">
        <v>174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6" t="str">
        <f>L25</f>
        <v/>
      </c>
      <c r="M62" s="567"/>
      <c r="N62" s="567"/>
      <c r="O62" s="567"/>
      <c r="P62" s="567"/>
      <c r="Q62" s="567"/>
      <c r="R62" s="567"/>
      <c r="S62" s="567"/>
      <c r="T62" s="568"/>
      <c r="U62" s="566" t="str">
        <f>U25</f>
        <v/>
      </c>
      <c r="V62" s="567"/>
      <c r="W62" s="567"/>
      <c r="X62" s="567"/>
      <c r="Y62" s="567"/>
      <c r="Z62" s="567"/>
      <c r="AA62" s="567"/>
      <c r="AB62" s="567"/>
      <c r="AC62" s="568"/>
      <c r="AD62" s="566" t="str">
        <f>AD25</f>
        <v/>
      </c>
      <c r="AE62" s="567"/>
      <c r="AF62" s="567"/>
      <c r="AG62" s="567"/>
      <c r="AH62" s="567"/>
      <c r="AI62" s="567"/>
      <c r="AJ62" s="567"/>
      <c r="AK62" s="567"/>
      <c r="AL62" s="568"/>
      <c r="AM62" s="566" t="str">
        <f>AM25</f>
        <v/>
      </c>
      <c r="AN62" s="567"/>
      <c r="AO62" s="567"/>
      <c r="AP62" s="567"/>
      <c r="AQ62" s="567"/>
      <c r="AR62" s="567"/>
      <c r="AS62" s="567"/>
      <c r="AT62" s="567"/>
      <c r="AU62" s="568"/>
    </row>
    <row r="63" spans="1:47" ht="9.75" customHeight="1" x14ac:dyDescent="0.2">
      <c r="A63" s="126" t="s">
        <v>479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3" t="str">
        <f>L27</f>
        <v/>
      </c>
      <c r="M63" s="564"/>
      <c r="N63" s="564"/>
      <c r="O63" s="564"/>
      <c r="P63" s="564"/>
      <c r="Q63" s="564"/>
      <c r="R63" s="564"/>
      <c r="S63" s="564"/>
      <c r="T63" s="565"/>
      <c r="U63" s="563" t="str">
        <f>U27</f>
        <v/>
      </c>
      <c r="V63" s="564"/>
      <c r="W63" s="564"/>
      <c r="X63" s="564"/>
      <c r="Y63" s="564"/>
      <c r="Z63" s="564"/>
      <c r="AA63" s="564"/>
      <c r="AB63" s="564"/>
      <c r="AC63" s="565"/>
      <c r="AD63" s="563" t="str">
        <f>AD27</f>
        <v/>
      </c>
      <c r="AE63" s="564"/>
      <c r="AF63" s="564"/>
      <c r="AG63" s="564"/>
      <c r="AH63" s="564"/>
      <c r="AI63" s="564"/>
      <c r="AJ63" s="564"/>
      <c r="AK63" s="564"/>
      <c r="AL63" s="565"/>
      <c r="AM63" s="563" t="str">
        <f>AM27</f>
        <v/>
      </c>
      <c r="AN63" s="564"/>
      <c r="AO63" s="564"/>
      <c r="AP63" s="564"/>
      <c r="AQ63" s="564"/>
      <c r="AR63" s="564"/>
      <c r="AS63" s="564"/>
      <c r="AT63" s="564"/>
      <c r="AU63" s="565"/>
    </row>
    <row r="64" spans="1:47" ht="9.75" customHeight="1" x14ac:dyDescent="0.2">
      <c r="A64" s="112" t="s">
        <v>478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6" t="str">
        <f>L27</f>
        <v/>
      </c>
      <c r="M64" s="567"/>
      <c r="N64" s="567"/>
      <c r="O64" s="567"/>
      <c r="P64" s="567"/>
      <c r="Q64" s="567"/>
      <c r="R64" s="567"/>
      <c r="S64" s="567"/>
      <c r="T64" s="568"/>
      <c r="U64" s="566" t="str">
        <f>U27</f>
        <v/>
      </c>
      <c r="V64" s="567"/>
      <c r="W64" s="567"/>
      <c r="X64" s="567"/>
      <c r="Y64" s="567"/>
      <c r="Z64" s="567"/>
      <c r="AA64" s="567"/>
      <c r="AB64" s="567"/>
      <c r="AC64" s="568"/>
      <c r="AD64" s="566" t="str">
        <f>AD27</f>
        <v/>
      </c>
      <c r="AE64" s="567"/>
      <c r="AF64" s="567"/>
      <c r="AG64" s="567"/>
      <c r="AH64" s="567"/>
      <c r="AI64" s="567"/>
      <c r="AJ64" s="567"/>
      <c r="AK64" s="567"/>
      <c r="AL64" s="568"/>
      <c r="AM64" s="566" t="str">
        <f>AM27</f>
        <v/>
      </c>
      <c r="AN64" s="567"/>
      <c r="AO64" s="567"/>
      <c r="AP64" s="567"/>
      <c r="AQ64" s="567"/>
      <c r="AR64" s="567"/>
      <c r="AS64" s="567"/>
      <c r="AT64" s="567"/>
      <c r="AU64" s="568"/>
    </row>
    <row r="65" spans="1:48" ht="9.75" customHeight="1" x14ac:dyDescent="0.2">
      <c r="A65" s="130" t="s">
        <v>175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3" t="str">
        <f>L29</f>
        <v/>
      </c>
      <c r="M65" s="564"/>
      <c r="N65" s="564"/>
      <c r="O65" s="564"/>
      <c r="P65" s="564"/>
      <c r="Q65" s="564"/>
      <c r="R65" s="564"/>
      <c r="S65" s="564"/>
      <c r="T65" s="565"/>
      <c r="U65" s="563" t="str">
        <f>U29</f>
        <v/>
      </c>
      <c r="V65" s="564"/>
      <c r="W65" s="564"/>
      <c r="X65" s="564"/>
      <c r="Y65" s="564"/>
      <c r="Z65" s="564"/>
      <c r="AA65" s="564"/>
      <c r="AB65" s="564"/>
      <c r="AC65" s="565"/>
      <c r="AD65" s="563" t="str">
        <f>AD29</f>
        <v/>
      </c>
      <c r="AE65" s="564"/>
      <c r="AF65" s="564"/>
      <c r="AG65" s="564"/>
      <c r="AH65" s="564"/>
      <c r="AI65" s="564"/>
      <c r="AJ65" s="564"/>
      <c r="AK65" s="564"/>
      <c r="AL65" s="565"/>
      <c r="AM65" s="563" t="str">
        <f>AM29</f>
        <v/>
      </c>
      <c r="AN65" s="564"/>
      <c r="AO65" s="564"/>
      <c r="AP65" s="564"/>
      <c r="AQ65" s="564"/>
      <c r="AR65" s="564"/>
      <c r="AS65" s="564"/>
      <c r="AT65" s="564"/>
      <c r="AU65" s="565"/>
    </row>
    <row r="66" spans="1:48" ht="9.75" customHeight="1" thickBot="1" x14ac:dyDescent="0.25">
      <c r="A66" s="133" t="s">
        <v>477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6" t="str">
        <f>L29</f>
        <v/>
      </c>
      <c r="M66" s="567"/>
      <c r="N66" s="567"/>
      <c r="O66" s="567"/>
      <c r="P66" s="567"/>
      <c r="Q66" s="567"/>
      <c r="R66" s="567"/>
      <c r="S66" s="567"/>
      <c r="T66" s="568"/>
      <c r="U66" s="566" t="str">
        <f>U29</f>
        <v/>
      </c>
      <c r="V66" s="567"/>
      <c r="W66" s="567"/>
      <c r="X66" s="567"/>
      <c r="Y66" s="567"/>
      <c r="Z66" s="567"/>
      <c r="AA66" s="567"/>
      <c r="AB66" s="567"/>
      <c r="AC66" s="568"/>
      <c r="AD66" s="566" t="str">
        <f>AD29</f>
        <v/>
      </c>
      <c r="AE66" s="567"/>
      <c r="AF66" s="567"/>
      <c r="AG66" s="567"/>
      <c r="AH66" s="567"/>
      <c r="AI66" s="567"/>
      <c r="AJ66" s="567"/>
      <c r="AK66" s="567"/>
      <c r="AL66" s="568"/>
      <c r="AM66" s="566" t="str">
        <f>AM29</f>
        <v/>
      </c>
      <c r="AN66" s="567"/>
      <c r="AO66" s="567"/>
      <c r="AP66" s="567"/>
      <c r="AQ66" s="567"/>
      <c r="AR66" s="567"/>
      <c r="AS66" s="567"/>
      <c r="AT66" s="567"/>
      <c r="AU66" s="568"/>
    </row>
    <row r="67" spans="1:48" ht="9.75" customHeight="1" thickTop="1" x14ac:dyDescent="0.2">
      <c r="A67" s="134" t="s">
        <v>176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561" t="s">
        <v>165</v>
      </c>
      <c r="U67" s="348"/>
      <c r="V67" s="348"/>
      <c r="W67" s="349"/>
      <c r="X67" s="348"/>
      <c r="Y67" s="349"/>
      <c r="Z67" s="348"/>
      <c r="AA67" s="348"/>
      <c r="AB67" s="348"/>
      <c r="AC67" s="561" t="s">
        <v>165</v>
      </c>
      <c r="AD67" s="348"/>
      <c r="AE67" s="348"/>
      <c r="AF67" s="349"/>
      <c r="AG67" s="348"/>
      <c r="AH67" s="349"/>
      <c r="AI67" s="348"/>
      <c r="AJ67" s="348"/>
      <c r="AK67" s="348"/>
      <c r="AL67" s="561" t="s">
        <v>165</v>
      </c>
      <c r="AM67" s="350"/>
      <c r="AN67" s="350"/>
      <c r="AO67" s="351"/>
      <c r="AP67" s="350"/>
      <c r="AQ67" s="351"/>
      <c r="AR67" s="350"/>
      <c r="AS67" s="350"/>
      <c r="AT67" s="350"/>
      <c r="AU67" s="561" t="s">
        <v>165</v>
      </c>
    </row>
    <row r="68" spans="1:48" ht="9.75" customHeight="1" thickBot="1" x14ac:dyDescent="0.25">
      <c r="A68" s="137" t="s">
        <v>177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562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562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562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562"/>
      <c r="AV68" s="100"/>
    </row>
    <row r="69" spans="1:48" ht="9.75" customHeight="1" thickTop="1" x14ac:dyDescent="0.2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35">
      <c r="A70" s="314" t="s">
        <v>178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186</v>
      </c>
      <c r="M70" s="312"/>
      <c r="N70" s="316"/>
      <c r="O70" s="560" t="str">
        <f>O34</f>
        <v/>
      </c>
      <c r="P70" s="560"/>
      <c r="Q70" s="560"/>
      <c r="R70" s="560"/>
      <c r="S70" s="560"/>
      <c r="T70" s="560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4">
      <c r="A71" s="318" t="s">
        <v>179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"/>
  </sheetData>
  <mergeCells count="130"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12" customFormat="1" ht="15" x14ac:dyDescent="0.25">
      <c r="A1" s="627" t="s">
        <v>494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</row>
    <row r="2" spans="1:11" s="212" customFormat="1" ht="8.25" customHeight="1" x14ac:dyDescent="0.25">
      <c r="A2" s="213"/>
    </row>
    <row r="3" spans="1:11" s="212" customFormat="1" ht="18.75" x14ac:dyDescent="0.3">
      <c r="A3" s="628" t="s">
        <v>397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</row>
    <row r="4" spans="1:11" s="212" customFormat="1" ht="8.25" customHeight="1" x14ac:dyDescent="0.25">
      <c r="A4" s="213"/>
    </row>
    <row r="5" spans="1:11" s="212" customFormat="1" ht="15.75" x14ac:dyDescent="0.25">
      <c r="A5" s="212" t="s">
        <v>398</v>
      </c>
      <c r="C5" s="629"/>
      <c r="D5" s="629"/>
      <c r="E5" s="629"/>
      <c r="F5" s="629"/>
      <c r="G5" s="629"/>
      <c r="H5" s="629"/>
      <c r="I5" s="629"/>
      <c r="J5" s="629"/>
      <c r="K5" s="629"/>
    </row>
    <row r="6" spans="1:11" s="212" customFormat="1" ht="7.5" customHeight="1" x14ac:dyDescent="0.25">
      <c r="A6" s="213"/>
    </row>
    <row r="7" spans="1:11" s="212" customFormat="1" ht="15.75" x14ac:dyDescent="0.25">
      <c r="A7" s="212" t="s">
        <v>399</v>
      </c>
      <c r="F7" s="629"/>
      <c r="G7" s="629"/>
      <c r="H7" s="629"/>
      <c r="I7" s="629"/>
      <c r="J7" s="629"/>
      <c r="K7" s="629"/>
    </row>
    <row r="8" spans="1:11" s="212" customFormat="1" ht="15.75" x14ac:dyDescent="0.25">
      <c r="A8" s="212" t="s">
        <v>400</v>
      </c>
      <c r="F8" s="629"/>
      <c r="G8" s="629"/>
      <c r="H8" s="629"/>
      <c r="I8" s="629"/>
      <c r="J8" s="629"/>
      <c r="K8" s="629"/>
    </row>
    <row r="9" spans="1:11" s="212" customFormat="1" ht="7.5" customHeight="1" x14ac:dyDescent="0.25">
      <c r="A9" s="213"/>
    </row>
    <row r="10" spans="1:11" s="212" customFormat="1" ht="15" x14ac:dyDescent="0.25">
      <c r="A10" s="214" t="s">
        <v>401</v>
      </c>
    </row>
    <row r="11" spans="1:11" s="212" customFormat="1" ht="15" x14ac:dyDescent="0.25">
      <c r="A11" s="212" t="s">
        <v>402</v>
      </c>
    </row>
    <row r="12" spans="1:11" s="212" customFormat="1" ht="15" x14ac:dyDescent="0.25">
      <c r="A12" s="212" t="s">
        <v>403</v>
      </c>
      <c r="B12" s="626"/>
      <c r="C12" s="626"/>
      <c r="D12" s="626"/>
      <c r="E12" s="626"/>
      <c r="F12" s="626"/>
      <c r="H12" s="212" t="s">
        <v>404</v>
      </c>
      <c r="I12" s="215"/>
      <c r="J12" s="626"/>
      <c r="K12" s="626"/>
    </row>
    <row r="13" spans="1:11" s="212" customFormat="1" ht="15" x14ac:dyDescent="0.25">
      <c r="A13" s="630" t="s">
        <v>405</v>
      </c>
      <c r="B13" s="630"/>
      <c r="C13" s="626"/>
      <c r="D13" s="626"/>
      <c r="E13" s="626"/>
      <c r="F13" s="626"/>
      <c r="G13" s="626"/>
      <c r="H13" s="626"/>
      <c r="I13" s="626"/>
      <c r="J13" s="626"/>
      <c r="K13" s="626"/>
    </row>
    <row r="14" spans="1:11" s="212" customFormat="1" ht="15" x14ac:dyDescent="0.25">
      <c r="A14" s="626"/>
      <c r="B14" s="626"/>
      <c r="C14" s="626"/>
      <c r="D14" s="626"/>
      <c r="E14" s="626"/>
      <c r="F14" s="626"/>
      <c r="G14" s="626"/>
      <c r="H14" s="626"/>
      <c r="I14" s="626"/>
      <c r="J14" s="626"/>
      <c r="K14" s="626"/>
    </row>
    <row r="15" spans="1:11" s="212" customFormat="1" ht="15" x14ac:dyDescent="0.25">
      <c r="A15" s="212" t="s">
        <v>406</v>
      </c>
      <c r="B15" s="626"/>
      <c r="C15" s="626"/>
      <c r="D15" s="626"/>
      <c r="E15" s="626"/>
      <c r="F15" s="212" t="s">
        <v>407</v>
      </c>
      <c r="G15" s="632"/>
      <c r="H15" s="632"/>
      <c r="I15" s="632"/>
      <c r="J15" s="632"/>
      <c r="K15" s="632"/>
    </row>
    <row r="16" spans="1:11" s="212" customFormat="1" ht="15" x14ac:dyDescent="0.25">
      <c r="A16" s="630" t="s">
        <v>408</v>
      </c>
      <c r="B16" s="630"/>
      <c r="C16" s="626"/>
      <c r="D16" s="626"/>
      <c r="E16" s="630" t="s">
        <v>409</v>
      </c>
      <c r="F16" s="630"/>
      <c r="G16" s="631"/>
      <c r="H16" s="631"/>
      <c r="I16" s="212" t="s">
        <v>410</v>
      </c>
      <c r="J16" s="626"/>
      <c r="K16" s="626"/>
    </row>
    <row r="17" spans="1:11" s="212" customFormat="1" ht="15" x14ac:dyDescent="0.25">
      <c r="A17" s="212" t="s">
        <v>411</v>
      </c>
      <c r="B17" s="626"/>
      <c r="C17" s="626"/>
      <c r="D17" s="626"/>
    </row>
    <row r="18" spans="1:11" s="212" customFormat="1" ht="7.5" customHeight="1" x14ac:dyDescent="0.25"/>
    <row r="19" spans="1:11" s="212" customFormat="1" ht="15" x14ac:dyDescent="0.25">
      <c r="A19" s="212" t="s">
        <v>412</v>
      </c>
      <c r="B19" s="626"/>
      <c r="C19" s="626"/>
      <c r="D19" s="626"/>
      <c r="E19" s="626"/>
      <c r="F19" s="626"/>
      <c r="H19" s="212" t="s">
        <v>404</v>
      </c>
      <c r="I19" s="215"/>
      <c r="J19" s="626"/>
      <c r="K19" s="626"/>
    </row>
    <row r="20" spans="1:11" s="212" customFormat="1" ht="15" x14ac:dyDescent="0.25">
      <c r="A20" s="630" t="s">
        <v>405</v>
      </c>
      <c r="B20" s="630"/>
      <c r="C20" s="626"/>
      <c r="D20" s="626"/>
      <c r="E20" s="626"/>
      <c r="F20" s="626"/>
      <c r="G20" s="626"/>
      <c r="H20" s="626"/>
      <c r="I20" s="626"/>
      <c r="J20" s="626"/>
      <c r="K20" s="626"/>
    </row>
    <row r="21" spans="1:11" s="212" customFormat="1" ht="15" x14ac:dyDescent="0.25">
      <c r="A21" s="626"/>
      <c r="B21" s="626"/>
      <c r="C21" s="626"/>
      <c r="D21" s="626"/>
      <c r="E21" s="626"/>
      <c r="F21" s="626"/>
      <c r="G21" s="626"/>
      <c r="H21" s="626"/>
      <c r="I21" s="626"/>
      <c r="J21" s="626"/>
      <c r="K21" s="626"/>
    </row>
    <row r="22" spans="1:11" s="212" customFormat="1" ht="15" x14ac:dyDescent="0.25">
      <c r="A22" s="212" t="s">
        <v>406</v>
      </c>
      <c r="B22" s="626"/>
      <c r="C22" s="626"/>
      <c r="D22" s="626"/>
      <c r="E22" s="626"/>
      <c r="F22" s="212" t="s">
        <v>407</v>
      </c>
      <c r="G22" s="632"/>
      <c r="H22" s="632"/>
      <c r="I22" s="632"/>
      <c r="J22" s="632"/>
      <c r="K22" s="632"/>
    </row>
    <row r="23" spans="1:11" s="212" customFormat="1" ht="15" x14ac:dyDescent="0.25">
      <c r="A23" s="630" t="s">
        <v>408</v>
      </c>
      <c r="B23" s="630"/>
      <c r="C23" s="626"/>
      <c r="D23" s="626"/>
      <c r="E23" s="630" t="s">
        <v>409</v>
      </c>
      <c r="F23" s="630"/>
      <c r="G23" s="631"/>
      <c r="H23" s="631"/>
      <c r="I23" s="212" t="s">
        <v>410</v>
      </c>
      <c r="J23" s="626"/>
      <c r="K23" s="626"/>
    </row>
    <row r="24" spans="1:11" s="212" customFormat="1" ht="15" x14ac:dyDescent="0.25">
      <c r="A24" s="212" t="s">
        <v>411</v>
      </c>
      <c r="B24" s="626"/>
      <c r="C24" s="626"/>
      <c r="D24" s="626"/>
    </row>
    <row r="25" spans="1:11" s="212" customFormat="1" ht="7.5" customHeight="1" x14ac:dyDescent="0.25"/>
    <row r="26" spans="1:11" s="212" customFormat="1" ht="15" x14ac:dyDescent="0.25">
      <c r="A26" s="212" t="s">
        <v>413</v>
      </c>
    </row>
    <row r="27" spans="1:11" s="212" customFormat="1" ht="15" x14ac:dyDescent="0.25">
      <c r="A27" s="212" t="s">
        <v>414</v>
      </c>
      <c r="B27" s="626"/>
      <c r="C27" s="626"/>
      <c r="D27" s="626"/>
      <c r="E27" s="626"/>
      <c r="F27" s="626"/>
      <c r="H27" s="212" t="s">
        <v>404</v>
      </c>
      <c r="I27" s="215"/>
      <c r="J27" s="626"/>
      <c r="K27" s="626"/>
    </row>
    <row r="28" spans="1:11" s="212" customFormat="1" ht="15" x14ac:dyDescent="0.25">
      <c r="A28" s="630" t="s">
        <v>405</v>
      </c>
      <c r="B28" s="630"/>
      <c r="C28" s="626"/>
      <c r="D28" s="626"/>
      <c r="E28" s="626"/>
      <c r="F28" s="626"/>
      <c r="G28" s="626"/>
      <c r="H28" s="626"/>
      <c r="I28" s="626"/>
      <c r="J28" s="626"/>
      <c r="K28" s="626"/>
    </row>
    <row r="29" spans="1:11" s="212" customFormat="1" ht="15" x14ac:dyDescent="0.25">
      <c r="A29" s="626"/>
      <c r="B29" s="626"/>
      <c r="C29" s="626"/>
      <c r="D29" s="626"/>
      <c r="E29" s="626"/>
      <c r="F29" s="626"/>
      <c r="G29" s="626"/>
      <c r="H29" s="626"/>
      <c r="I29" s="626"/>
      <c r="J29" s="626"/>
      <c r="K29" s="626"/>
    </row>
    <row r="30" spans="1:11" s="212" customFormat="1" ht="15" x14ac:dyDescent="0.25">
      <c r="A30" s="212" t="s">
        <v>406</v>
      </c>
      <c r="B30" s="626"/>
      <c r="C30" s="626"/>
      <c r="D30" s="626"/>
      <c r="E30" s="626"/>
      <c r="F30" s="212" t="s">
        <v>407</v>
      </c>
      <c r="G30" s="626"/>
      <c r="H30" s="626"/>
      <c r="I30" s="626"/>
      <c r="J30" s="626"/>
      <c r="K30" s="626"/>
    </row>
    <row r="31" spans="1:11" s="212" customFormat="1" ht="15" x14ac:dyDescent="0.25">
      <c r="A31" s="630" t="s">
        <v>408</v>
      </c>
      <c r="B31" s="630"/>
      <c r="C31" s="626"/>
      <c r="D31" s="626"/>
      <c r="E31" s="630" t="s">
        <v>409</v>
      </c>
      <c r="F31" s="630"/>
      <c r="G31" s="631"/>
      <c r="H31" s="631"/>
      <c r="I31" s="212" t="s">
        <v>410</v>
      </c>
      <c r="J31" s="626"/>
      <c r="K31" s="626"/>
    </row>
    <row r="32" spans="1:11" s="212" customFormat="1" ht="15" x14ac:dyDescent="0.25">
      <c r="A32" s="212" t="s">
        <v>411</v>
      </c>
      <c r="B32" s="626"/>
      <c r="C32" s="626"/>
      <c r="D32" s="626"/>
      <c r="E32" s="630" t="s">
        <v>415</v>
      </c>
      <c r="F32" s="630"/>
      <c r="G32" s="630"/>
      <c r="H32" s="630"/>
      <c r="I32" s="630"/>
      <c r="J32" s="630"/>
      <c r="K32" s="630"/>
    </row>
    <row r="33" spans="1:11" s="212" customFormat="1" ht="7.5" customHeight="1" x14ac:dyDescent="0.25"/>
    <row r="34" spans="1:11" s="212" customFormat="1" ht="15" x14ac:dyDescent="0.25">
      <c r="E34" s="636" t="s">
        <v>416</v>
      </c>
      <c r="F34" s="636"/>
      <c r="G34" s="636"/>
      <c r="H34" s="633" t="s">
        <v>417</v>
      </c>
      <c r="I34" s="633"/>
      <c r="J34" s="633"/>
      <c r="K34" s="633"/>
    </row>
    <row r="35" spans="1:11" s="212" customFormat="1" ht="15" x14ac:dyDescent="0.25">
      <c r="H35" s="633" t="s">
        <v>418</v>
      </c>
      <c r="I35" s="633"/>
      <c r="J35" s="633"/>
      <c r="K35" s="633"/>
    </row>
    <row r="36" spans="1:11" s="214" customFormat="1" ht="15.75" x14ac:dyDescent="0.25">
      <c r="A36" s="634" t="s">
        <v>419</v>
      </c>
      <c r="B36" s="634"/>
      <c r="C36" s="634"/>
      <c r="D36" s="634"/>
      <c r="E36" s="635" t="str">
        <f>РПВ!AO2</f>
        <v>2025</v>
      </c>
      <c r="F36" s="635"/>
      <c r="G36" s="214" t="s">
        <v>165</v>
      </c>
    </row>
    <row r="37" spans="1:11" s="212" customFormat="1" ht="15" x14ac:dyDescent="0.25">
      <c r="A37" s="326"/>
      <c r="B37" s="326"/>
      <c r="C37" s="326"/>
      <c r="D37" s="326"/>
      <c r="E37" s="357"/>
      <c r="F37" s="357"/>
    </row>
    <row r="38" spans="1:11" s="212" customFormat="1" ht="27.75" customHeight="1" x14ac:dyDescent="0.25">
      <c r="A38" s="637" t="s">
        <v>495</v>
      </c>
      <c r="B38" s="637"/>
      <c r="C38" s="637"/>
      <c r="D38" s="637"/>
      <c r="E38" s="637"/>
      <c r="F38" s="637"/>
      <c r="G38" s="637"/>
      <c r="H38" s="637"/>
      <c r="I38" s="637"/>
      <c r="J38" s="637"/>
      <c r="K38" s="358"/>
    </row>
    <row r="39" spans="1:11" s="212" customFormat="1" ht="15" customHeight="1" x14ac:dyDescent="0.25">
      <c r="A39" s="212" t="s">
        <v>496</v>
      </c>
      <c r="F39" s="212" t="s">
        <v>497</v>
      </c>
    </row>
    <row r="40" spans="1:11" s="212" customFormat="1" ht="15" customHeight="1" x14ac:dyDescent="0.25"/>
    <row r="41" spans="1:11" s="214" customFormat="1" ht="15" x14ac:dyDescent="0.25">
      <c r="A41" s="359" t="s">
        <v>498</v>
      </c>
    </row>
    <row r="42" spans="1:11" s="214" customFormat="1" ht="21.75" customHeight="1" x14ac:dyDescent="0.25">
      <c r="A42" s="359" t="s">
        <v>499</v>
      </c>
      <c r="F42" s="359" t="s">
        <v>500</v>
      </c>
    </row>
    <row r="43" spans="1:11" s="360" customFormat="1" ht="16.5" x14ac:dyDescent="0.3">
      <c r="A43" s="360" t="s">
        <v>420</v>
      </c>
      <c r="B43" s="395"/>
      <c r="C43" s="360" t="s">
        <v>421</v>
      </c>
      <c r="D43" s="395"/>
      <c r="F43" s="360" t="s">
        <v>420</v>
      </c>
      <c r="G43" s="395"/>
      <c r="H43" s="362" t="s">
        <v>421</v>
      </c>
      <c r="I43" s="638"/>
      <c r="J43" s="638"/>
    </row>
    <row r="44" spans="1:11" s="360" customFormat="1" ht="15" x14ac:dyDescent="0.25">
      <c r="A44" s="361" t="s">
        <v>422</v>
      </c>
      <c r="D44" s="325"/>
      <c r="F44" s="361" t="s">
        <v>422</v>
      </c>
      <c r="I44" s="640"/>
      <c r="J44" s="640"/>
    </row>
    <row r="45" spans="1:11" s="360" customFormat="1" ht="15" x14ac:dyDescent="0.25">
      <c r="A45" s="361" t="s">
        <v>423</v>
      </c>
      <c r="D45" s="325"/>
      <c r="F45" s="361" t="s">
        <v>423</v>
      </c>
      <c r="I45" s="640"/>
      <c r="J45" s="640"/>
    </row>
    <row r="46" spans="1:11" s="360" customFormat="1" ht="15" x14ac:dyDescent="0.25">
      <c r="A46" s="361" t="s">
        <v>424</v>
      </c>
      <c r="D46" s="367"/>
      <c r="F46" s="361" t="s">
        <v>428</v>
      </c>
      <c r="I46" s="212"/>
      <c r="J46" s="365"/>
      <c r="K46" s="363"/>
    </row>
    <row r="47" spans="1:11" s="360" customFormat="1" ht="15" x14ac:dyDescent="0.25">
      <c r="D47" s="366"/>
      <c r="F47" s="361" t="s">
        <v>429</v>
      </c>
      <c r="I47" s="640"/>
      <c r="J47" s="640"/>
    </row>
    <row r="48" spans="1:11" s="360" customFormat="1" ht="15" x14ac:dyDescent="0.25">
      <c r="F48" s="361" t="s">
        <v>424</v>
      </c>
      <c r="I48" s="640"/>
      <c r="J48" s="640"/>
    </row>
    <row r="49" spans="1:9" s="212" customFormat="1" ht="15" x14ac:dyDescent="0.25"/>
    <row r="50" spans="1:9" s="212" customFormat="1" ht="7.5" customHeight="1" x14ac:dyDescent="0.25">
      <c r="A50" s="212" t="s">
        <v>425</v>
      </c>
    </row>
    <row r="51" spans="1:9" s="212" customFormat="1" ht="15" x14ac:dyDescent="0.25">
      <c r="A51" s="212" t="s">
        <v>186</v>
      </c>
      <c r="B51" s="639"/>
      <c r="C51" s="639"/>
      <c r="G51" s="212" t="s">
        <v>426</v>
      </c>
      <c r="H51" s="216"/>
      <c r="I51" s="216"/>
    </row>
    <row r="52" spans="1:9" s="212" customFormat="1" ht="15" x14ac:dyDescent="0.25">
      <c r="H52" s="212" t="s">
        <v>427</v>
      </c>
    </row>
    <row r="54" spans="1:9" s="364" customFormat="1" ht="15" x14ac:dyDescent="0.25">
      <c r="A54" s="364" t="s">
        <v>501</v>
      </c>
    </row>
  </sheetData>
  <mergeCells count="57">
    <mergeCell ref="A38:J38"/>
    <mergeCell ref="I43:J43"/>
    <mergeCell ref="B51:C51"/>
    <mergeCell ref="I44:J44"/>
    <mergeCell ref="I45:J45"/>
    <mergeCell ref="I47:J47"/>
    <mergeCell ref="I48:J48"/>
    <mergeCell ref="A29:K29"/>
    <mergeCell ref="B32:D32"/>
    <mergeCell ref="E32:K32"/>
    <mergeCell ref="E34:G34"/>
    <mergeCell ref="H34:K34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B24:D24"/>
    <mergeCell ref="B27:F27"/>
    <mergeCell ref="J27:K27"/>
    <mergeCell ref="A28:B28"/>
    <mergeCell ref="C28:K28"/>
    <mergeCell ref="B17:D17"/>
    <mergeCell ref="B19:F19"/>
    <mergeCell ref="J19:K19"/>
    <mergeCell ref="A20:B20"/>
    <mergeCell ref="C20:K20"/>
    <mergeCell ref="B22:E22"/>
    <mergeCell ref="G22:K22"/>
    <mergeCell ref="A23:B23"/>
    <mergeCell ref="C23:D23"/>
    <mergeCell ref="A21:K21"/>
    <mergeCell ref="E23:F23"/>
    <mergeCell ref="G23:H23"/>
    <mergeCell ref="J23:K23"/>
    <mergeCell ref="A13:B13"/>
    <mergeCell ref="C13:K13"/>
    <mergeCell ref="A14:K14"/>
    <mergeCell ref="B15:E15"/>
    <mergeCell ref="G15:K15"/>
    <mergeCell ref="A16:B16"/>
    <mergeCell ref="C16:D16"/>
    <mergeCell ref="E16:F16"/>
    <mergeCell ref="G16:H16"/>
    <mergeCell ref="J16:K16"/>
    <mergeCell ref="B12:F12"/>
    <mergeCell ref="J12:K12"/>
    <mergeCell ref="A1:K1"/>
    <mergeCell ref="A3:K3"/>
    <mergeCell ref="C5:K5"/>
    <mergeCell ref="F7:K7"/>
    <mergeCell ref="F8:K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вер.2025,03&amp;L&amp;8&amp;B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sqref="A1:E1"/>
    </sheetView>
  </sheetViews>
  <sheetFormatPr defaultColWidth="9.140625"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42" t="s">
        <v>53</v>
      </c>
      <c r="B1" s="642"/>
      <c r="C1" s="642"/>
      <c r="D1" s="642"/>
      <c r="E1" s="642"/>
    </row>
    <row r="2" spans="1:6" ht="38.25" x14ac:dyDescent="0.2">
      <c r="A2" s="25" t="s">
        <v>387</v>
      </c>
      <c r="B2" s="25" t="s">
        <v>386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">
      <c r="A3" s="6"/>
      <c r="B3" s="204"/>
      <c r="C3" s="3">
        <v>1</v>
      </c>
      <c r="D3" s="28">
        <f>(B3+A3)/C3</f>
        <v>0</v>
      </c>
      <c r="E3" s="5">
        <f>C3/D6</f>
        <v>4.5454545454545456E-2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388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22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643" t="s">
        <v>54</v>
      </c>
      <c r="B12" s="643"/>
      <c r="C12" s="643"/>
      <c r="D12" s="643"/>
      <c r="E12" s="643"/>
    </row>
    <row r="13" spans="1:6" x14ac:dyDescent="0.2">
      <c r="A13" s="641" t="s">
        <v>15</v>
      </c>
      <c r="B13" s="641"/>
      <c r="C13" s="5">
        <f>РПВ!AG2</f>
        <v>22</v>
      </c>
    </row>
    <row r="14" spans="1:6" x14ac:dyDescent="0.2">
      <c r="A14" s="641" t="s">
        <v>16</v>
      </c>
      <c r="B14" s="641"/>
      <c r="C14" s="3"/>
    </row>
    <row r="15" spans="1:6" x14ac:dyDescent="0.2">
      <c r="A15" s="641" t="s">
        <v>13</v>
      </c>
      <c r="B15" s="641"/>
      <c r="C15" s="5">
        <f>IF(C14&gt;C13,"ГРЕШКА!!!",C13-C14)</f>
        <v>22</v>
      </c>
    </row>
    <row r="16" spans="1:6" x14ac:dyDescent="0.2">
      <c r="A16" s="641" t="s">
        <v>14</v>
      </c>
      <c r="B16" s="641"/>
      <c r="C16" s="2"/>
    </row>
    <row r="17" spans="1:3" x14ac:dyDescent="0.2">
      <c r="A17" s="641" t="s">
        <v>17</v>
      </c>
      <c r="B17" s="64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Q113"/>
  <sheetViews>
    <sheetView zoomScale="90" zoomScaleNormal="90" workbookViewId="0">
      <selection activeCell="S7" sqref="S7"/>
    </sheetView>
  </sheetViews>
  <sheetFormatPr defaultColWidth="9.140625" defaultRowHeight="12.75" x14ac:dyDescent="0.2"/>
  <cols>
    <col min="1" max="1" width="2.85546875" style="86" customWidth="1"/>
    <col min="2" max="2" width="43.85546875" style="86" customWidth="1"/>
    <col min="3" max="3" width="9.5703125" style="86" customWidth="1"/>
    <col min="4" max="12" width="9.140625" style="86"/>
    <col min="13" max="13" width="9.28515625" style="86" bestFit="1" customWidth="1"/>
    <col min="14" max="14" width="7.7109375" style="86" customWidth="1"/>
    <col min="15" max="15" width="9.42578125" style="86" bestFit="1" customWidth="1"/>
    <col min="16" max="17" width="9.140625" style="86"/>
    <col min="18" max="18" width="8" style="86" bestFit="1" customWidth="1"/>
    <col min="19" max="19" width="80.85546875" style="86" bestFit="1" customWidth="1"/>
    <col min="20" max="16384" width="9.140625" style="86"/>
  </cols>
  <sheetData>
    <row r="1" spans="2:17" ht="12.75" customHeight="1" x14ac:dyDescent="0.2">
      <c r="B1" s="647" t="s">
        <v>43</v>
      </c>
      <c r="C1" s="647"/>
      <c r="D1" s="645" t="s">
        <v>274</v>
      </c>
      <c r="E1" s="645"/>
      <c r="F1" s="645">
        <v>2</v>
      </c>
      <c r="G1" s="645"/>
      <c r="H1" s="645">
        <v>3</v>
      </c>
      <c r="I1" s="645"/>
      <c r="J1" s="645">
        <v>4</v>
      </c>
      <c r="K1" s="645"/>
      <c r="L1" s="645">
        <v>5</v>
      </c>
      <c r="M1" s="645"/>
      <c r="N1" s="475">
        <v>9</v>
      </c>
      <c r="O1" s="475"/>
    </row>
    <row r="2" spans="2:17" ht="12.75" customHeight="1" x14ac:dyDescent="0.2"/>
    <row r="3" spans="2:17" ht="12.75" customHeight="1" x14ac:dyDescent="0.2">
      <c r="B3" s="646" t="s">
        <v>119</v>
      </c>
      <c r="C3" s="646"/>
      <c r="D3" s="462" t="s">
        <v>56</v>
      </c>
      <c r="E3" s="462" t="s">
        <v>57</v>
      </c>
      <c r="F3" s="462" t="s">
        <v>56</v>
      </c>
      <c r="G3" s="462" t="s">
        <v>57</v>
      </c>
      <c r="H3" s="462" t="s">
        <v>56</v>
      </c>
      <c r="I3" s="462" t="s">
        <v>57</v>
      </c>
      <c r="J3" s="462" t="s">
        <v>56</v>
      </c>
      <c r="K3" s="462" t="s">
        <v>57</v>
      </c>
      <c r="L3" s="462" t="s">
        <v>56</v>
      </c>
      <c r="M3" s="462" t="s">
        <v>57</v>
      </c>
      <c r="N3" s="462" t="s">
        <v>56</v>
      </c>
      <c r="O3" s="462" t="s">
        <v>57</v>
      </c>
    </row>
    <row r="4" spans="2:17" ht="12.75" customHeight="1" x14ac:dyDescent="0.2">
      <c r="B4" s="646"/>
      <c r="C4" s="646"/>
      <c r="D4" s="462"/>
      <c r="E4" s="462"/>
      <c r="F4" s="462"/>
      <c r="G4" s="462"/>
      <c r="H4" s="462"/>
      <c r="I4" s="462"/>
      <c r="J4" s="462"/>
      <c r="K4" s="462"/>
      <c r="L4" s="462"/>
      <c r="M4" s="462"/>
      <c r="N4" s="462"/>
      <c r="O4" s="462"/>
    </row>
    <row r="5" spans="2:17" ht="12.75" customHeight="1" x14ac:dyDescent="0.2">
      <c r="B5" s="646"/>
      <c r="C5" s="646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</row>
    <row r="6" spans="2:17" ht="12.75" customHeight="1" x14ac:dyDescent="0.2">
      <c r="B6" s="647" t="s">
        <v>492</v>
      </c>
      <c r="C6" s="647"/>
      <c r="D6" s="327">
        <f>D7+D8+D10</f>
        <v>0.10580000000000001</v>
      </c>
      <c r="E6" s="327">
        <f t="shared" ref="E6:O6" si="0">E7+E8+E10</f>
        <v>8.3799999999999999E-2</v>
      </c>
      <c r="F6" s="327">
        <f t="shared" si="0"/>
        <v>0.23300000000000001</v>
      </c>
      <c r="G6" s="327">
        <f t="shared" si="0"/>
        <v>0.183</v>
      </c>
      <c r="H6" s="327">
        <f t="shared" si="0"/>
        <v>0.19800000000000001</v>
      </c>
      <c r="I6" s="327">
        <f t="shared" si="0"/>
        <v>0.14799999999999999</v>
      </c>
      <c r="J6" s="327">
        <f t="shared" si="0"/>
        <v>0</v>
      </c>
      <c r="K6" s="327">
        <f t="shared" si="0"/>
        <v>0</v>
      </c>
      <c r="L6" s="327">
        <f>L7+L8+L10</f>
        <v>8.7800000000000003E-2</v>
      </c>
      <c r="M6" s="327">
        <f t="shared" si="0"/>
        <v>6.5799999999999997E-2</v>
      </c>
      <c r="N6" s="327">
        <f t="shared" si="0"/>
        <v>8.7800000000000003E-2</v>
      </c>
      <c r="O6" s="327">
        <f t="shared" si="0"/>
        <v>6.5799999999999997E-2</v>
      </c>
      <c r="P6" s="86" t="s">
        <v>141</v>
      </c>
    </row>
    <row r="7" spans="2:17" ht="12.75" customHeight="1" x14ac:dyDescent="0.2">
      <c r="B7" s="644" t="s">
        <v>25</v>
      </c>
      <c r="C7" s="644"/>
      <c r="D7" s="328">
        <v>8.7800000000000003E-2</v>
      </c>
      <c r="E7" s="328">
        <v>6.5799999999999997E-2</v>
      </c>
      <c r="F7" s="328">
        <v>0.19800000000000001</v>
      </c>
      <c r="G7" s="328">
        <v>0.14799999999999999</v>
      </c>
      <c r="H7" s="328">
        <v>0.19800000000000001</v>
      </c>
      <c r="I7" s="328">
        <v>0.14799999999999999</v>
      </c>
      <c r="J7" s="328">
        <v>0</v>
      </c>
      <c r="K7" s="328">
        <v>0</v>
      </c>
      <c r="L7" s="328">
        <v>8.7800000000000003E-2</v>
      </c>
      <c r="M7" s="328">
        <v>6.5799999999999997E-2</v>
      </c>
      <c r="N7" s="328">
        <v>8.7800000000000003E-2</v>
      </c>
      <c r="O7" s="328">
        <v>6.5799999999999997E-2</v>
      </c>
      <c r="P7" s="174">
        <v>4.2999999999999997E-2</v>
      </c>
    </row>
    <row r="8" spans="2:17" ht="12.75" customHeight="1" x14ac:dyDescent="0.2">
      <c r="B8" s="644" t="s">
        <v>26</v>
      </c>
      <c r="C8" s="644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">
      <c r="B9" s="475" t="s">
        <v>23</v>
      </c>
      <c r="C9" s="475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2.1999999999999999E-2</v>
      </c>
      <c r="N9" s="173">
        <v>0</v>
      </c>
      <c r="O9" s="173">
        <v>2.1999999999999999E-2</v>
      </c>
    </row>
    <row r="10" spans="2:17" ht="12.75" customHeight="1" x14ac:dyDescent="0.2">
      <c r="B10" s="644" t="s">
        <v>22</v>
      </c>
      <c r="C10" s="644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">
      <c r="B11" s="475" t="s">
        <v>21</v>
      </c>
      <c r="C11" s="475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3.2000000000000001E-2</v>
      </c>
      <c r="M11" s="173">
        <v>3.2000000000000001E-2</v>
      </c>
      <c r="N11" s="173">
        <v>0</v>
      </c>
      <c r="O11" s="173">
        <v>0</v>
      </c>
    </row>
    <row r="12" spans="2:17" ht="12.75" customHeight="1" x14ac:dyDescent="0.2">
      <c r="B12" s="475" t="s">
        <v>27</v>
      </c>
      <c r="C12" s="475"/>
      <c r="D12" s="175">
        <v>4130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">
      <c r="B13" s="475" t="s">
        <v>103</v>
      </c>
      <c r="C13" s="475"/>
      <c r="D13" s="449">
        <v>1077</v>
      </c>
    </row>
    <row r="14" spans="2:17" ht="12.75" customHeight="1" x14ac:dyDescent="0.2">
      <c r="B14" s="475" t="s">
        <v>55</v>
      </c>
      <c r="C14" s="475"/>
      <c r="D14" s="449">
        <v>1077</v>
      </c>
      <c r="F14" s="649" t="s">
        <v>614</v>
      </c>
      <c r="G14" s="649"/>
      <c r="H14" s="649"/>
      <c r="I14" s="649"/>
      <c r="J14" s="649"/>
      <c r="K14" s="649"/>
      <c r="L14" s="40"/>
    </row>
    <row r="15" spans="2:17" ht="12.75" customHeight="1" x14ac:dyDescent="0.2">
      <c r="B15" s="475" t="s">
        <v>100</v>
      </c>
      <c r="C15" s="475"/>
      <c r="D15" s="449">
        <v>780</v>
      </c>
      <c r="F15" s="649"/>
      <c r="G15" s="649"/>
      <c r="H15" s="649"/>
      <c r="I15" s="649"/>
      <c r="J15" s="649"/>
      <c r="K15" s="649"/>
      <c r="L15" s="40"/>
    </row>
    <row r="16" spans="2:17" x14ac:dyDescent="0.2">
      <c r="B16" s="475" t="s">
        <v>432</v>
      </c>
      <c r="C16" s="475"/>
      <c r="D16" s="449">
        <v>1077</v>
      </c>
      <c r="Q16" s="86" t="str">
        <f>ver</f>
        <v>2025,03</v>
      </c>
    </row>
    <row r="17" spans="1:11" x14ac:dyDescent="0.2">
      <c r="B17" s="650" t="s">
        <v>615</v>
      </c>
      <c r="C17" s="648"/>
      <c r="D17" s="449">
        <v>1077</v>
      </c>
    </row>
    <row r="18" spans="1:11" ht="12.75" customHeight="1" x14ac:dyDescent="0.2">
      <c r="D18" s="459"/>
      <c r="F18" s="177"/>
    </row>
    <row r="19" spans="1:11" ht="12.75" customHeight="1" x14ac:dyDescent="0.2">
      <c r="F19" s="177"/>
    </row>
    <row r="20" spans="1:11" ht="12.75" customHeight="1" x14ac:dyDescent="0.2">
      <c r="F20" s="177"/>
    </row>
    <row r="21" spans="1:11" ht="12.75" customHeight="1" x14ac:dyDescent="0.2">
      <c r="F21" s="177"/>
    </row>
    <row r="22" spans="1:11" ht="12.75" customHeight="1" x14ac:dyDescent="0.2">
      <c r="F22" s="177"/>
    </row>
    <row r="23" spans="1:11" ht="12.75" customHeight="1" x14ac:dyDescent="0.2"/>
    <row r="24" spans="1:11" ht="12.75" customHeight="1" x14ac:dyDescent="0.2">
      <c r="A24" s="648" t="s">
        <v>96</v>
      </c>
      <c r="B24" s="648"/>
      <c r="C24" s="200" t="s">
        <v>97</v>
      </c>
      <c r="D24" s="163" t="s">
        <v>98</v>
      </c>
      <c r="E24" s="163" t="s">
        <v>2</v>
      </c>
      <c r="G24" s="86" t="s">
        <v>303</v>
      </c>
      <c r="J24" s="86" t="s">
        <v>445</v>
      </c>
    </row>
    <row r="25" spans="1:11" ht="12.75" customHeight="1" x14ac:dyDescent="0.2">
      <c r="A25" s="648"/>
      <c r="B25" s="648"/>
      <c r="C25" s="177">
        <f>INDEX(H25:H112,MATCH(C26,G25:G112,0),1)</f>
        <v>5.0000000000000001E-3</v>
      </c>
      <c r="D25" s="177">
        <v>0</v>
      </c>
      <c r="E25" s="178">
        <v>0.1</v>
      </c>
      <c r="G25" s="95" t="s">
        <v>189</v>
      </c>
      <c r="H25" s="177">
        <v>8.9999999999999993E-3</v>
      </c>
      <c r="I25" s="651"/>
      <c r="J25" s="86" t="s">
        <v>446</v>
      </c>
      <c r="K25" s="86">
        <v>1</v>
      </c>
    </row>
    <row r="26" spans="1:11" ht="12.75" customHeight="1" x14ac:dyDescent="0.2">
      <c r="A26" s="648"/>
      <c r="B26" s="648"/>
      <c r="C26" s="202" t="str">
        <f>nkid</f>
        <v>14</v>
      </c>
      <c r="G26" s="95" t="s">
        <v>190</v>
      </c>
      <c r="H26" s="177">
        <v>1.0999999999999999E-2</v>
      </c>
      <c r="I26" s="651"/>
      <c r="J26" s="86" t="s">
        <v>447</v>
      </c>
      <c r="K26" s="86">
        <v>1</v>
      </c>
    </row>
    <row r="27" spans="1:11" ht="12.75" customHeight="1" x14ac:dyDescent="0.2">
      <c r="A27" s="648"/>
      <c r="B27" s="648"/>
      <c r="C27" s="177"/>
      <c r="G27" s="95" t="s">
        <v>191</v>
      </c>
      <c r="H27" s="177">
        <v>7.0000000000000001E-3</v>
      </c>
      <c r="I27" s="651"/>
      <c r="J27" s="86" t="s">
        <v>448</v>
      </c>
      <c r="K27" s="86">
        <v>1</v>
      </c>
    </row>
    <row r="28" spans="1:11" ht="12.75" customHeight="1" x14ac:dyDescent="0.2">
      <c r="A28" s="648"/>
      <c r="B28" s="648"/>
      <c r="C28" s="177"/>
      <c r="G28" s="95" t="s">
        <v>193</v>
      </c>
      <c r="H28" s="177">
        <v>1.0999999999999999E-2</v>
      </c>
      <c r="I28" s="651"/>
      <c r="J28" s="86" t="s">
        <v>449</v>
      </c>
      <c r="K28" s="86">
        <v>1</v>
      </c>
    </row>
    <row r="29" spans="1:11" ht="12.75" customHeight="1" x14ac:dyDescent="0.2">
      <c r="A29" s="648"/>
      <c r="B29" s="648"/>
      <c r="C29" s="177"/>
      <c r="G29" s="95" t="s">
        <v>194</v>
      </c>
      <c r="H29" s="448">
        <v>7.0000000000000001E-3</v>
      </c>
      <c r="I29" s="651"/>
    </row>
    <row r="30" spans="1:11" ht="12.75" customHeight="1" x14ac:dyDescent="0.2">
      <c r="G30" s="95" t="s">
        <v>195</v>
      </c>
      <c r="H30" s="177">
        <v>1.0999999999999999E-2</v>
      </c>
      <c r="I30" s="651"/>
    </row>
    <row r="31" spans="1:11" ht="12.75" customHeight="1" x14ac:dyDescent="0.2">
      <c r="A31" s="20">
        <v>1</v>
      </c>
      <c r="B31" s="86" t="s">
        <v>68</v>
      </c>
      <c r="C31" s="176"/>
      <c r="G31" s="95" t="s">
        <v>196</v>
      </c>
      <c r="H31" s="177">
        <v>1.0999999999999999E-2</v>
      </c>
      <c r="I31" s="651"/>
      <c r="J31" s="86" t="s">
        <v>450</v>
      </c>
      <c r="K31" s="86">
        <v>1</v>
      </c>
    </row>
    <row r="32" spans="1:11" ht="12.75" customHeight="1" x14ac:dyDescent="0.2">
      <c r="A32" s="20">
        <v>2</v>
      </c>
      <c r="B32" s="86" t="s">
        <v>441</v>
      </c>
      <c r="C32" s="176"/>
      <c r="G32" s="95" t="s">
        <v>197</v>
      </c>
      <c r="H32" s="177">
        <v>1.0999999999999999E-2</v>
      </c>
      <c r="I32" s="651"/>
      <c r="J32" s="86" t="s">
        <v>451</v>
      </c>
      <c r="K32" s="86">
        <v>1</v>
      </c>
    </row>
    <row r="33" spans="1:11" ht="12.75" customHeight="1" x14ac:dyDescent="0.2">
      <c r="A33" s="20">
        <v>3</v>
      </c>
      <c r="B33" s="86" t="s">
        <v>442</v>
      </c>
      <c r="C33" s="176"/>
      <c r="G33" s="95" t="s">
        <v>198</v>
      </c>
      <c r="H33" s="177">
        <v>7.0000000000000001E-3</v>
      </c>
      <c r="I33" s="651"/>
      <c r="J33" s="86" t="s">
        <v>457</v>
      </c>
      <c r="K33" s="86">
        <v>1</v>
      </c>
    </row>
    <row r="34" spans="1:11" ht="12.75" customHeight="1" x14ac:dyDescent="0.2">
      <c r="A34" s="20">
        <v>4</v>
      </c>
      <c r="B34" s="86" t="s">
        <v>443</v>
      </c>
      <c r="G34" s="95" t="s">
        <v>199</v>
      </c>
      <c r="H34" s="177">
        <v>7.0000000000000001E-3</v>
      </c>
      <c r="I34" s="651"/>
      <c r="J34" s="86" t="s">
        <v>454</v>
      </c>
      <c r="K34" s="86">
        <v>1</v>
      </c>
    </row>
    <row r="35" spans="1:11" ht="12.75" customHeight="1" x14ac:dyDescent="0.2">
      <c r="A35" s="20">
        <v>5</v>
      </c>
      <c r="B35" s="427" t="s">
        <v>613</v>
      </c>
      <c r="C35" s="179"/>
      <c r="G35" s="95" t="s">
        <v>200</v>
      </c>
      <c r="H35" s="177">
        <v>1.0999999999999999E-2</v>
      </c>
      <c r="I35" s="651"/>
    </row>
    <row r="36" spans="1:11" ht="12.75" customHeight="1" x14ac:dyDescent="0.2">
      <c r="A36" s="20">
        <v>6</v>
      </c>
      <c r="B36" s="86" t="s">
        <v>117</v>
      </c>
      <c r="G36" s="95" t="s">
        <v>201</v>
      </c>
      <c r="H36" s="177">
        <v>1.0999999999999999E-2</v>
      </c>
      <c r="I36" s="651"/>
    </row>
    <row r="37" spans="1:11" ht="12.75" customHeight="1" x14ac:dyDescent="0.2">
      <c r="A37" s="20">
        <v>7</v>
      </c>
      <c r="B37" s="86" t="s">
        <v>118</v>
      </c>
      <c r="G37" s="95" t="s">
        <v>360</v>
      </c>
      <c r="H37" s="177">
        <v>5.0000000000000001E-3</v>
      </c>
      <c r="I37" s="651"/>
    </row>
    <row r="38" spans="1:11" ht="12.75" customHeight="1" x14ac:dyDescent="0.2">
      <c r="A38" s="20">
        <v>8</v>
      </c>
      <c r="B38" s="86" t="s">
        <v>273</v>
      </c>
      <c r="G38" s="95" t="s">
        <v>361</v>
      </c>
      <c r="H38" s="448">
        <v>5.0000000000000001E-3</v>
      </c>
      <c r="I38" s="651"/>
    </row>
    <row r="39" spans="1:11" ht="12.75" customHeight="1" x14ac:dyDescent="0.2">
      <c r="A39" s="20">
        <v>9</v>
      </c>
      <c r="B39" s="86" t="s">
        <v>390</v>
      </c>
      <c r="G39" s="95" t="s">
        <v>304</v>
      </c>
      <c r="H39" s="177">
        <v>1.0999999999999999E-2</v>
      </c>
      <c r="I39" s="651"/>
    </row>
    <row r="40" spans="1:11" ht="12.75" customHeight="1" x14ac:dyDescent="0.2">
      <c r="G40" s="95" t="s">
        <v>312</v>
      </c>
      <c r="H40" s="177">
        <v>1.0999999999999999E-2</v>
      </c>
      <c r="I40" s="651"/>
    </row>
    <row r="41" spans="1:11" ht="12.75" customHeight="1" x14ac:dyDescent="0.2">
      <c r="F41" s="199"/>
      <c r="G41" s="95" t="s">
        <v>337</v>
      </c>
      <c r="H41" s="177">
        <v>5.0000000000000001E-3</v>
      </c>
      <c r="I41" s="651"/>
    </row>
    <row r="42" spans="1:11" ht="12.75" customHeight="1" x14ac:dyDescent="0.2">
      <c r="G42" s="95" t="s">
        <v>339</v>
      </c>
      <c r="H42" s="177">
        <v>8.9999999999999993E-3</v>
      </c>
      <c r="I42" s="651"/>
    </row>
    <row r="43" spans="1:11" x14ac:dyDescent="0.2">
      <c r="G43" s="95" t="s">
        <v>322</v>
      </c>
      <c r="H43" s="177">
        <v>1.0999999999999999E-2</v>
      </c>
      <c r="I43" s="651"/>
    </row>
    <row r="44" spans="1:11" x14ac:dyDescent="0.2">
      <c r="G44" s="95" t="s">
        <v>323</v>
      </c>
      <c r="H44" s="177">
        <v>8.9999999999999993E-3</v>
      </c>
      <c r="I44" s="651"/>
    </row>
    <row r="45" spans="1:11" x14ac:dyDescent="0.2">
      <c r="G45" s="95" t="s">
        <v>305</v>
      </c>
      <c r="H45" s="177">
        <v>1.0999999999999999E-2</v>
      </c>
      <c r="I45" s="651"/>
    </row>
    <row r="46" spans="1:11" x14ac:dyDescent="0.2">
      <c r="G46" s="95" t="s">
        <v>313</v>
      </c>
      <c r="H46" s="177">
        <v>1.0999999999999999E-2</v>
      </c>
      <c r="I46" s="651"/>
    </row>
    <row r="47" spans="1:11" x14ac:dyDescent="0.2">
      <c r="G47" s="95" t="s">
        <v>306</v>
      </c>
      <c r="H47" s="177">
        <v>1.0999999999999999E-2</v>
      </c>
      <c r="I47" s="651"/>
    </row>
    <row r="48" spans="1:11" x14ac:dyDescent="0.2">
      <c r="G48" s="95" t="s">
        <v>314</v>
      </c>
      <c r="H48" s="177">
        <v>1.0999999999999999E-2</v>
      </c>
      <c r="I48" s="651"/>
    </row>
    <row r="49" spans="7:9" x14ac:dyDescent="0.2">
      <c r="G49" s="95" t="s">
        <v>340</v>
      </c>
      <c r="H49" s="177">
        <v>5.0000000000000001E-3</v>
      </c>
      <c r="I49" s="651"/>
    </row>
    <row r="50" spans="7:9" x14ac:dyDescent="0.2">
      <c r="G50" s="95" t="s">
        <v>324</v>
      </c>
      <c r="H50" s="177">
        <v>7.0000000000000001E-3</v>
      </c>
      <c r="I50" s="651"/>
    </row>
    <row r="51" spans="7:9" x14ac:dyDescent="0.2">
      <c r="G51" s="95" t="s">
        <v>315</v>
      </c>
      <c r="H51" s="177">
        <v>8.9999999999999993E-3</v>
      </c>
      <c r="I51" s="651"/>
    </row>
    <row r="52" spans="7:9" x14ac:dyDescent="0.2">
      <c r="G52" s="95" t="s">
        <v>316</v>
      </c>
      <c r="H52" s="177">
        <v>5.0000000000000001E-3</v>
      </c>
      <c r="I52" s="651"/>
    </row>
    <row r="53" spans="7:9" x14ac:dyDescent="0.2">
      <c r="G53" s="95" t="s">
        <v>307</v>
      </c>
      <c r="H53" s="177">
        <v>1.0999999999999999E-2</v>
      </c>
      <c r="I53" s="651"/>
    </row>
    <row r="54" spans="7:9" x14ac:dyDescent="0.2">
      <c r="G54" s="95" t="s">
        <v>325</v>
      </c>
      <c r="H54" s="177">
        <v>1.0999999999999999E-2</v>
      </c>
      <c r="I54" s="651"/>
    </row>
    <row r="55" spans="7:9" x14ac:dyDescent="0.2">
      <c r="G55" s="95" t="s">
        <v>326</v>
      </c>
      <c r="H55" s="177">
        <v>7.0000000000000001E-3</v>
      </c>
      <c r="I55" s="651"/>
    </row>
    <row r="56" spans="7:9" x14ac:dyDescent="0.2">
      <c r="G56" s="95" t="s">
        <v>327</v>
      </c>
      <c r="H56" s="177">
        <v>1.0999999999999999E-2</v>
      </c>
      <c r="I56" s="651"/>
    </row>
    <row r="57" spans="7:9" x14ac:dyDescent="0.2">
      <c r="G57" s="95" t="s">
        <v>317</v>
      </c>
      <c r="H57" s="177">
        <v>8.9999999999999993E-3</v>
      </c>
      <c r="I57" s="651"/>
    </row>
    <row r="58" spans="7:9" x14ac:dyDescent="0.2">
      <c r="G58" s="95" t="s">
        <v>318</v>
      </c>
      <c r="H58" s="177">
        <v>8.9999999999999993E-3</v>
      </c>
      <c r="I58" s="651"/>
    </row>
    <row r="59" spans="7:9" x14ac:dyDescent="0.2">
      <c r="G59" s="95" t="s">
        <v>333</v>
      </c>
      <c r="H59" s="177">
        <v>1.0999999999999999E-2</v>
      </c>
      <c r="I59" s="651"/>
    </row>
    <row r="60" spans="7:9" x14ac:dyDescent="0.2">
      <c r="G60" s="95" t="s">
        <v>334</v>
      </c>
      <c r="H60" s="177">
        <v>1.0999999999999999E-2</v>
      </c>
      <c r="I60" s="651"/>
    </row>
    <row r="61" spans="7:9" x14ac:dyDescent="0.2">
      <c r="G61" s="95" t="s">
        <v>335</v>
      </c>
      <c r="H61" s="177">
        <v>1.0999999999999999E-2</v>
      </c>
      <c r="I61" s="651"/>
    </row>
    <row r="62" spans="7:9" x14ac:dyDescent="0.2">
      <c r="G62" s="95" t="s">
        <v>308</v>
      </c>
      <c r="H62" s="177">
        <v>1.0999999999999999E-2</v>
      </c>
      <c r="I62" s="651"/>
    </row>
    <row r="63" spans="7:9" x14ac:dyDescent="0.2">
      <c r="G63" s="95" t="s">
        <v>309</v>
      </c>
      <c r="H63" s="177">
        <v>1.0999999999999999E-2</v>
      </c>
      <c r="I63" s="651"/>
    </row>
    <row r="64" spans="7:9" x14ac:dyDescent="0.2">
      <c r="G64" s="95" t="s">
        <v>310</v>
      </c>
      <c r="H64" s="177">
        <v>1.0999999999999999E-2</v>
      </c>
      <c r="I64" s="651"/>
    </row>
    <row r="65" spans="7:9" x14ac:dyDescent="0.2">
      <c r="G65" s="95" t="s">
        <v>341</v>
      </c>
      <c r="H65" s="448">
        <v>0</v>
      </c>
      <c r="I65" s="651"/>
    </row>
    <row r="66" spans="7:9" x14ac:dyDescent="0.2">
      <c r="G66" s="95" t="s">
        <v>328</v>
      </c>
      <c r="H66" s="177">
        <v>5.0000000000000001E-3</v>
      </c>
      <c r="I66" s="651"/>
    </row>
    <row r="67" spans="7:9" x14ac:dyDescent="0.2">
      <c r="G67" s="95" t="s">
        <v>362</v>
      </c>
      <c r="H67" s="177">
        <v>5.0000000000000001E-3</v>
      </c>
      <c r="I67" s="651"/>
    </row>
    <row r="68" spans="7:9" x14ac:dyDescent="0.2">
      <c r="G68" s="95" t="s">
        <v>319</v>
      </c>
      <c r="H68" s="177">
        <v>1.0999999999999999E-2</v>
      </c>
      <c r="I68" s="651"/>
    </row>
    <row r="69" spans="7:9" x14ac:dyDescent="0.2">
      <c r="G69" s="95" t="s">
        <v>311</v>
      </c>
      <c r="H69" s="177">
        <v>1.0999999999999999E-2</v>
      </c>
      <c r="I69" s="651"/>
    </row>
    <row r="70" spans="7:9" x14ac:dyDescent="0.2">
      <c r="G70" s="95" t="s">
        <v>342</v>
      </c>
      <c r="H70" s="177">
        <v>7.0000000000000001E-3</v>
      </c>
      <c r="I70" s="651"/>
    </row>
    <row r="71" spans="7:9" x14ac:dyDescent="0.2">
      <c r="G71" s="95" t="s">
        <v>320</v>
      </c>
      <c r="H71" s="177">
        <v>1.0999999999999999E-2</v>
      </c>
      <c r="I71" s="651"/>
    </row>
    <row r="72" spans="7:9" x14ac:dyDescent="0.2">
      <c r="G72" s="95" t="s">
        <v>329</v>
      </c>
      <c r="H72" s="177">
        <v>7.0000000000000001E-3</v>
      </c>
      <c r="I72" s="651"/>
    </row>
    <row r="73" spans="7:9" x14ac:dyDescent="0.2">
      <c r="G73" s="95" t="s">
        <v>365</v>
      </c>
      <c r="H73" s="177">
        <v>5.0000000000000001E-3</v>
      </c>
      <c r="I73" s="651"/>
    </row>
    <row r="74" spans="7:9" x14ac:dyDescent="0.2">
      <c r="G74" s="95" t="s">
        <v>363</v>
      </c>
      <c r="H74" s="177">
        <v>5.0000000000000001E-3</v>
      </c>
      <c r="I74" s="651"/>
    </row>
    <row r="75" spans="7:9" x14ac:dyDescent="0.2">
      <c r="G75" s="95" t="s">
        <v>338</v>
      </c>
      <c r="H75" s="177">
        <v>4.0000000000000001E-3</v>
      </c>
      <c r="I75" s="651"/>
    </row>
    <row r="76" spans="7:9" x14ac:dyDescent="0.2">
      <c r="G76" s="95" t="s">
        <v>355</v>
      </c>
      <c r="H76" s="177">
        <v>4.0000000000000001E-3</v>
      </c>
      <c r="I76" s="651"/>
    </row>
    <row r="77" spans="7:9" x14ac:dyDescent="0.2">
      <c r="G77" s="95" t="s">
        <v>356</v>
      </c>
      <c r="H77" s="177">
        <v>4.0000000000000001E-3</v>
      </c>
      <c r="I77" s="651"/>
    </row>
    <row r="78" spans="7:9" x14ac:dyDescent="0.2">
      <c r="G78" s="95" t="s">
        <v>330</v>
      </c>
      <c r="H78" s="177">
        <v>7.0000000000000001E-3</v>
      </c>
      <c r="I78" s="651"/>
    </row>
    <row r="79" spans="7:9" x14ac:dyDescent="0.2">
      <c r="G79" s="95" t="s">
        <v>368</v>
      </c>
      <c r="H79" s="177">
        <v>4.0000000000000001E-3</v>
      </c>
      <c r="I79" s="651"/>
    </row>
    <row r="80" spans="7:9" x14ac:dyDescent="0.2">
      <c r="G80" s="95" t="s">
        <v>369</v>
      </c>
      <c r="H80" s="177">
        <v>4.0000000000000001E-3</v>
      </c>
      <c r="I80" s="651"/>
    </row>
    <row r="81" spans="7:9" x14ac:dyDescent="0.2">
      <c r="G81" s="95" t="s">
        <v>343</v>
      </c>
      <c r="H81" s="177">
        <v>4.0000000000000001E-3</v>
      </c>
      <c r="I81" s="651"/>
    </row>
    <row r="82" spans="7:9" x14ac:dyDescent="0.2">
      <c r="G82" s="95" t="s">
        <v>366</v>
      </c>
      <c r="H82" s="177">
        <v>4.0000000000000001E-3</v>
      </c>
      <c r="I82" s="651"/>
    </row>
    <row r="83" spans="7:9" x14ac:dyDescent="0.2">
      <c r="G83" s="95" t="s">
        <v>344</v>
      </c>
      <c r="H83" s="177">
        <v>4.0000000000000001E-3</v>
      </c>
      <c r="I83" s="651"/>
    </row>
    <row r="84" spans="7:9" x14ac:dyDescent="0.2">
      <c r="G84" s="95" t="s">
        <v>331</v>
      </c>
      <c r="H84" s="177">
        <v>1.0999999999999999E-2</v>
      </c>
      <c r="I84" s="651"/>
    </row>
    <row r="85" spans="7:9" x14ac:dyDescent="0.2">
      <c r="G85" s="95" t="s">
        <v>346</v>
      </c>
      <c r="H85" s="177">
        <v>4.0000000000000001E-3</v>
      </c>
      <c r="I85" s="651"/>
    </row>
    <row r="86" spans="7:9" x14ac:dyDescent="0.2">
      <c r="G86" s="95" t="s">
        <v>347</v>
      </c>
      <c r="H86" s="177">
        <v>5.0000000000000001E-3</v>
      </c>
      <c r="I86" s="651"/>
    </row>
    <row r="87" spans="7:9" x14ac:dyDescent="0.2">
      <c r="G87" s="95" t="s">
        <v>348</v>
      </c>
      <c r="H87" s="177">
        <v>7.0000000000000001E-3</v>
      </c>
      <c r="I87" s="651"/>
    </row>
    <row r="88" spans="7:9" x14ac:dyDescent="0.2">
      <c r="G88" s="95" t="s">
        <v>345</v>
      </c>
      <c r="H88" s="177">
        <v>5.0000000000000001E-3</v>
      </c>
      <c r="I88" s="651"/>
    </row>
    <row r="89" spans="7:9" x14ac:dyDescent="0.2">
      <c r="G89" s="95" t="s">
        <v>349</v>
      </c>
      <c r="H89" s="177">
        <v>4.0000000000000001E-3</v>
      </c>
      <c r="I89" s="651"/>
    </row>
    <row r="90" spans="7:9" x14ac:dyDescent="0.2">
      <c r="G90" s="95" t="s">
        <v>350</v>
      </c>
      <c r="H90" s="177">
        <v>5.0000000000000001E-3</v>
      </c>
      <c r="I90" s="651"/>
    </row>
    <row r="91" spans="7:9" x14ac:dyDescent="0.2">
      <c r="G91" s="95" t="s">
        <v>371</v>
      </c>
      <c r="H91" s="177">
        <v>4.0000000000000001E-3</v>
      </c>
      <c r="I91" s="651"/>
    </row>
    <row r="92" spans="7:9" x14ac:dyDescent="0.2">
      <c r="G92" s="95" t="s">
        <v>367</v>
      </c>
      <c r="H92" s="177">
        <v>1.0999999999999999E-2</v>
      </c>
      <c r="I92" s="651"/>
    </row>
    <row r="93" spans="7:9" x14ac:dyDescent="0.2">
      <c r="G93" s="95" t="s">
        <v>351</v>
      </c>
      <c r="H93" s="177">
        <v>5.0000000000000001E-3</v>
      </c>
      <c r="I93" s="651"/>
    </row>
    <row r="94" spans="7:9" x14ac:dyDescent="0.2">
      <c r="G94" s="95" t="s">
        <v>321</v>
      </c>
      <c r="H94" s="177">
        <v>5.0000000000000001E-3</v>
      </c>
      <c r="I94" s="651"/>
    </row>
    <row r="95" spans="7:9" x14ac:dyDescent="0.2">
      <c r="G95" s="95" t="s">
        <v>352</v>
      </c>
      <c r="H95" s="177">
        <v>7.0000000000000001E-3</v>
      </c>
      <c r="I95" s="651"/>
    </row>
    <row r="96" spans="7:9" x14ac:dyDescent="0.2">
      <c r="G96" s="95" t="s">
        <v>353</v>
      </c>
      <c r="H96" s="177">
        <v>8.9999999999999993E-3</v>
      </c>
      <c r="I96" s="651"/>
    </row>
    <row r="97" spans="7:9" x14ac:dyDescent="0.2">
      <c r="G97" s="95" t="s">
        <v>354</v>
      </c>
      <c r="H97" s="177">
        <v>4.0000000000000001E-3</v>
      </c>
      <c r="I97" s="651"/>
    </row>
    <row r="98" spans="7:9" x14ac:dyDescent="0.2">
      <c r="G98" s="95" t="s">
        <v>332</v>
      </c>
      <c r="H98" s="177">
        <v>7.0000000000000001E-3</v>
      </c>
      <c r="I98" s="651"/>
    </row>
    <row r="99" spans="7:9" x14ac:dyDescent="0.2">
      <c r="G99" s="95" t="s">
        <v>370</v>
      </c>
      <c r="H99" s="177">
        <v>5.0000000000000001E-3</v>
      </c>
      <c r="I99" s="651"/>
    </row>
    <row r="100" spans="7:9" x14ac:dyDescent="0.2">
      <c r="G100" s="95" t="s">
        <v>372</v>
      </c>
      <c r="H100" s="177">
        <v>5.0000000000000001E-3</v>
      </c>
      <c r="I100" s="651"/>
    </row>
    <row r="101" spans="7:9" x14ac:dyDescent="0.2">
      <c r="G101" s="95" t="s">
        <v>373</v>
      </c>
      <c r="H101" s="177">
        <v>5.0000000000000001E-3</v>
      </c>
      <c r="I101" s="651"/>
    </row>
    <row r="102" spans="7:9" x14ac:dyDescent="0.2">
      <c r="G102" s="95" t="s">
        <v>374</v>
      </c>
      <c r="H102" s="177">
        <v>5.0000000000000001E-3</v>
      </c>
      <c r="I102" s="651"/>
    </row>
    <row r="103" spans="7:9" x14ac:dyDescent="0.2">
      <c r="G103" s="95" t="s">
        <v>357</v>
      </c>
      <c r="H103" s="177">
        <v>7.0000000000000001E-3</v>
      </c>
      <c r="I103" s="651"/>
    </row>
    <row r="104" spans="7:9" x14ac:dyDescent="0.2">
      <c r="G104" s="95" t="s">
        <v>358</v>
      </c>
      <c r="H104" s="177">
        <v>5.0000000000000001E-3</v>
      </c>
      <c r="I104" s="651"/>
    </row>
    <row r="105" spans="7:9" x14ac:dyDescent="0.2">
      <c r="G105" s="95" t="s">
        <v>359</v>
      </c>
      <c r="H105" s="177">
        <v>5.0000000000000001E-3</v>
      </c>
      <c r="I105" s="651"/>
    </row>
    <row r="106" spans="7:9" x14ac:dyDescent="0.2">
      <c r="G106" s="95" t="s">
        <v>298</v>
      </c>
      <c r="H106" s="177">
        <v>5.0000000000000001E-3</v>
      </c>
      <c r="I106" s="651"/>
    </row>
    <row r="107" spans="7:9" x14ac:dyDescent="0.2">
      <c r="G107" s="95" t="s">
        <v>375</v>
      </c>
      <c r="H107" s="177">
        <v>4.0000000000000001E-3</v>
      </c>
      <c r="I107" s="651"/>
    </row>
    <row r="108" spans="7:9" x14ac:dyDescent="0.2">
      <c r="G108" s="95" t="s">
        <v>364</v>
      </c>
      <c r="H108" s="177">
        <v>5.0000000000000001E-3</v>
      </c>
      <c r="I108" s="651"/>
    </row>
    <row r="109" spans="7:9" x14ac:dyDescent="0.2">
      <c r="G109" s="95" t="s">
        <v>336</v>
      </c>
      <c r="H109" s="177">
        <v>4.0000000000000001E-3</v>
      </c>
      <c r="I109" s="651"/>
    </row>
    <row r="110" spans="7:9" x14ac:dyDescent="0.2">
      <c r="G110" s="95" t="s">
        <v>376</v>
      </c>
      <c r="H110" s="177">
        <v>4.0000000000000001E-3</v>
      </c>
      <c r="I110" s="651"/>
    </row>
    <row r="111" spans="7:9" x14ac:dyDescent="0.2">
      <c r="G111" s="95" t="s">
        <v>377</v>
      </c>
      <c r="H111" s="177">
        <v>4.0000000000000001E-3</v>
      </c>
      <c r="I111" s="651"/>
    </row>
    <row r="112" spans="7:9" x14ac:dyDescent="0.2">
      <c r="G112" s="95" t="s">
        <v>378</v>
      </c>
      <c r="H112" s="177">
        <v>5.0000000000000001E-3</v>
      </c>
      <c r="I112" s="651"/>
    </row>
    <row r="113" spans="8:8" x14ac:dyDescent="0.2">
      <c r="H113" s="177"/>
    </row>
  </sheetData>
  <mergeCells count="34">
    <mergeCell ref="O3:O5"/>
    <mergeCell ref="B6:C6"/>
    <mergeCell ref="J3:J5"/>
    <mergeCell ref="K3:K5"/>
    <mergeCell ref="L3:L5"/>
    <mergeCell ref="M3:M5"/>
    <mergeCell ref="N3:N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"/>
  <sheetViews>
    <sheetView workbookViewId="0">
      <selection activeCell="A41" sqref="A41"/>
    </sheetView>
  </sheetViews>
  <sheetFormatPr defaultColWidth="9.140625" defaultRowHeight="12.75" x14ac:dyDescent="0.2"/>
  <cols>
    <col min="1" max="1" width="30.42578125" style="447" bestFit="1" customWidth="1"/>
    <col min="2" max="16384" width="9.140625" style="447"/>
  </cols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09FF81-6F38-485D-9A8D-A8EE6843A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kodvidosig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Slav Pumpalov</cp:lastModifiedBy>
  <cp:lastPrinted>2025-02-07T16:20:10Z</cp:lastPrinted>
  <dcterms:created xsi:type="dcterms:W3CDTF">2003-10-17T12:32:27Z</dcterms:created>
  <dcterms:modified xsi:type="dcterms:W3CDTF">2025-04-12T17:10:59Z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